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3955" windowHeight="10035"/>
  </bookViews>
  <sheets>
    <sheet name="1&quot; x 5|8&quot; Manifold Calculator" sheetId="1" r:id="rId1"/>
    <sheet name="3|4&quot; x 1|2&quot; Manifold Calculator" sheetId="4" r:id="rId2"/>
  </sheets>
  <definedNames>
    <definedName name="Alpha">'1" x 5|8" Manifold Calculator'!$D$15</definedName>
    <definedName name="Alpha2">'3|4" x 1|2" Manifold Calculator'!$D$15</definedName>
    <definedName name="CirculatorHead">'1" x 5|8" Manifold Calculator'!$D$7</definedName>
    <definedName name="CirculatorHead2">'3|4" x 1|2" Manifold Calculator'!$D$7</definedName>
    <definedName name="DeltaTemp">'1" x 5|8" Manifold Calculator'!$D$4</definedName>
    <definedName name="DeltaTemp2">'3|4" x 1|2" Manifold Calculator'!$D$4</definedName>
    <definedName name="Density">'1" x 5|8" Manifold Calculator'!$D$13</definedName>
    <definedName name="Density2">'3|4" x 1|2" Manifold Calculator'!$D$13</definedName>
    <definedName name="DynamicViscosity">'1" x 5|8" Manifold Calculator'!$D$14</definedName>
    <definedName name="DynamicViscosity2">'3|4" x 1|2" Manifold Calculator'!$D$14</definedName>
    <definedName name="FiveEightsc">'1" x 5|8" Manifold Calculator'!$J$12</definedName>
    <definedName name="Halfc" localSheetId="1">'3|4" x 1|2" Manifold Calculator'!$G$12</definedName>
    <definedName name="HeaderResistance">'1" x 5|8" Manifold Calculator'!$D$17</definedName>
    <definedName name="HeaderResistance2">'3|4" x 1|2" Manifold Calculator'!$D$17</definedName>
    <definedName name="ManifoldDistance">'1" x 5|8" Manifold Calculator'!$D$3</definedName>
    <definedName name="ManifoldDistance2">'3|4" x 1|2" Manifold Calculator'!$D$3</definedName>
    <definedName name="OneInchc">'1" x 5|8" Manifold Calculator'!$P$12</definedName>
    <definedName name="SpecificHeat">'1" x 5|8" Manifold Calculator'!$D$12</definedName>
    <definedName name="SpecificHeat2">'3|4" x 1|2" Manifold Calculator'!$D$12</definedName>
    <definedName name="SystemFlow">'1" x 5|8" Manifold Calculator'!$D$9</definedName>
    <definedName name="SystemFlow2">'3|4" x 1|2" Manifold Calculator'!$D$9</definedName>
    <definedName name="TempIn">'1" x 5|8" Manifold Calculator'!$D$5</definedName>
    <definedName name="TempIn2">'3|4" x 1|2" Manifold Calculator'!$D$5</definedName>
    <definedName name="ThreeQuartersc" localSheetId="1">'3|4" x 1|2" Manifold Calculator'!$M$12</definedName>
    <definedName name="ZoneHead">'1" x 5|8" Manifold Calculator'!$D$8</definedName>
    <definedName name="ZoneHead2">'3|4" x 1|2" Manifold Calculator'!$D$8</definedName>
    <definedName name="ZoneResistance">'1" x 5|8" Manifold Calculator'!$D$16</definedName>
    <definedName name="ZoneResistance2">'3|4" x 1|2" Manifold Calculator'!$D$16</definedName>
  </definedNames>
  <calcPr calcId="125725"/>
</workbook>
</file>

<file path=xl/calcChain.xml><?xml version="1.0" encoding="utf-8"?>
<calcChain xmlns="http://schemas.openxmlformats.org/spreadsheetml/2006/main">
  <c r="D14" i="4"/>
  <c r="D13"/>
  <c r="D12"/>
  <c r="D11"/>
  <c r="D14" i="1"/>
  <c r="D13"/>
  <c r="D12"/>
  <c r="D11"/>
  <c r="K17" i="4" l="1"/>
  <c r="D15"/>
  <c r="K17" i="1"/>
  <c r="D15"/>
  <c r="D89" i="4" l="1"/>
  <c r="D83"/>
  <c r="D77"/>
  <c r="D71"/>
  <c r="D65"/>
  <c r="D59"/>
  <c r="D53"/>
  <c r="D47"/>
  <c r="D41"/>
  <c r="D35"/>
  <c r="D29"/>
  <c r="D23"/>
  <c r="D17"/>
  <c r="D89" i="1"/>
  <c r="D83"/>
  <c r="D77"/>
  <c r="D71"/>
  <c r="D65"/>
  <c r="D59"/>
  <c r="D53"/>
  <c r="D47"/>
  <c r="D41"/>
  <c r="D35"/>
  <c r="D29"/>
  <c r="D23"/>
  <c r="D17"/>
  <c r="D16" i="4" l="1"/>
  <c r="D9" s="1"/>
  <c r="D16" i="1"/>
  <c r="D9" s="1"/>
  <c r="P5" i="4" l="1"/>
  <c r="J5"/>
  <c r="M5"/>
  <c r="G5"/>
  <c r="M8"/>
  <c r="P8"/>
  <c r="G8"/>
  <c r="J8"/>
  <c r="D8"/>
  <c r="P5" i="1"/>
  <c r="J5"/>
  <c r="M5"/>
  <c r="G5"/>
  <c r="M8"/>
  <c r="P8"/>
  <c r="G8"/>
  <c r="J8"/>
  <c r="D8"/>
  <c r="D88" i="4" l="1"/>
  <c r="D82"/>
  <c r="D76"/>
  <c r="D70"/>
  <c r="D64"/>
  <c r="D58"/>
  <c r="D52"/>
  <c r="D46"/>
  <c r="D40"/>
  <c r="D34"/>
  <c r="D28"/>
  <c r="D22"/>
  <c r="D88" i="1"/>
  <c r="D82"/>
  <c r="D76"/>
  <c r="D70"/>
  <c r="D64"/>
  <c r="D58"/>
  <c r="D52"/>
  <c r="D46"/>
  <c r="D40"/>
  <c r="D34"/>
  <c r="D28"/>
  <c r="D22"/>
  <c r="P27" i="4" l="1"/>
  <c r="J27"/>
  <c r="M27"/>
  <c r="G27"/>
  <c r="D27"/>
  <c r="D30"/>
  <c r="P39"/>
  <c r="J39"/>
  <c r="M39"/>
  <c r="G39"/>
  <c r="D39"/>
  <c r="D42"/>
  <c r="P51"/>
  <c r="J51"/>
  <c r="M51"/>
  <c r="G51"/>
  <c r="D51"/>
  <c r="D54"/>
  <c r="P63"/>
  <c r="J63"/>
  <c r="M63"/>
  <c r="G63"/>
  <c r="D63"/>
  <c r="D66"/>
  <c r="P75"/>
  <c r="J75"/>
  <c r="M75"/>
  <c r="G75"/>
  <c r="D75"/>
  <c r="D78"/>
  <c r="P87"/>
  <c r="J87"/>
  <c r="M87"/>
  <c r="G87"/>
  <c r="D87"/>
  <c r="D90"/>
  <c r="P21"/>
  <c r="J21"/>
  <c r="M21"/>
  <c r="G21"/>
  <c r="D21"/>
  <c r="D24"/>
  <c r="P33"/>
  <c r="J33"/>
  <c r="M33"/>
  <c r="G33"/>
  <c r="D33"/>
  <c r="D36"/>
  <c r="P45"/>
  <c r="J45"/>
  <c r="M45"/>
  <c r="G45"/>
  <c r="D45"/>
  <c r="D48"/>
  <c r="P57"/>
  <c r="J57"/>
  <c r="M57"/>
  <c r="G57"/>
  <c r="D57"/>
  <c r="D60"/>
  <c r="P69"/>
  <c r="J69"/>
  <c r="M69"/>
  <c r="G69"/>
  <c r="D69"/>
  <c r="D72"/>
  <c r="P81"/>
  <c r="J81"/>
  <c r="M81"/>
  <c r="G81"/>
  <c r="D81"/>
  <c r="D84"/>
  <c r="P27" i="1"/>
  <c r="J27"/>
  <c r="M27"/>
  <c r="G27"/>
  <c r="D27"/>
  <c r="D30"/>
  <c r="P39"/>
  <c r="J39"/>
  <c r="M39"/>
  <c r="G39"/>
  <c r="D39"/>
  <c r="D42"/>
  <c r="P51"/>
  <c r="J51"/>
  <c r="M51"/>
  <c r="G51"/>
  <c r="D51"/>
  <c r="D54"/>
  <c r="P63"/>
  <c r="J63"/>
  <c r="M63"/>
  <c r="G63"/>
  <c r="D63"/>
  <c r="D66"/>
  <c r="P75"/>
  <c r="J75"/>
  <c r="M75"/>
  <c r="G75"/>
  <c r="D75"/>
  <c r="D78"/>
  <c r="P87"/>
  <c r="J87"/>
  <c r="M87"/>
  <c r="G87"/>
  <c r="D87"/>
  <c r="D90"/>
  <c r="P21"/>
  <c r="J21"/>
  <c r="M21"/>
  <c r="G21"/>
  <c r="D21"/>
  <c r="D24"/>
  <c r="P33"/>
  <c r="J33"/>
  <c r="M33"/>
  <c r="G33"/>
  <c r="D33"/>
  <c r="D36"/>
  <c r="P45"/>
  <c r="J45"/>
  <c r="M45"/>
  <c r="G45"/>
  <c r="D45"/>
  <c r="D48"/>
  <c r="P57"/>
  <c r="J57"/>
  <c r="M57"/>
  <c r="G57"/>
  <c r="D57"/>
  <c r="D60"/>
  <c r="P69"/>
  <c r="J69"/>
  <c r="M69"/>
  <c r="G69"/>
  <c r="D69"/>
  <c r="D72"/>
  <c r="P81"/>
  <c r="J81"/>
  <c r="M81"/>
  <c r="G81"/>
  <c r="D81"/>
  <c r="D84"/>
  <c r="D10" i="4" l="1"/>
  <c r="D10" i="1"/>
</calcChain>
</file>

<file path=xl/sharedStrings.xml><?xml version="1.0" encoding="utf-8"?>
<sst xmlns="http://schemas.openxmlformats.org/spreadsheetml/2006/main" count="556" uniqueCount="58">
  <si>
    <t>1" manifold suppy/return ports &amp; header pipe</t>
  </si>
  <si>
    <t>Feeder/Manifold</t>
  </si>
  <si>
    <t>L (distance to manifold):</t>
  </si>
  <si>
    <t>ft</t>
  </si>
  <si>
    <t>Flow velocity:</t>
  </si>
  <si>
    <t>ΔT (intended temp drop of system):</t>
  </si>
  <si>
    <t>°F</t>
  </si>
  <si>
    <t>"</t>
  </si>
  <si>
    <r>
      <t>T</t>
    </r>
    <r>
      <rPr>
        <sz val="8"/>
        <color theme="1"/>
        <rFont val="Calibri"/>
        <family val="2"/>
        <scheme val="minor"/>
      </rPr>
      <t>in</t>
    </r>
    <r>
      <rPr>
        <sz val="11"/>
        <color theme="1"/>
        <rFont val="Calibri"/>
        <family val="2"/>
        <scheme val="minor"/>
      </rPr>
      <t xml:space="preserve"> (temp of fluid entering circuit):</t>
    </r>
  </si>
  <si>
    <t>f/s</t>
  </si>
  <si>
    <t>Percent fluid mixture water (1.0):</t>
  </si>
  <si>
    <t>%</t>
  </si>
  <si>
    <t>H (head pressure maintained by circulator):</t>
  </si>
  <si>
    <t>Head Loss per foot:</t>
  </si>
  <si>
    <r>
      <t>H</t>
    </r>
    <r>
      <rPr>
        <sz val="8"/>
        <color theme="1"/>
        <rFont val="Calibri"/>
        <family val="2"/>
        <scheme val="minor"/>
      </rPr>
      <t xml:space="preserve">zone </t>
    </r>
    <r>
      <rPr>
        <sz val="11"/>
        <color theme="1"/>
        <rFont val="Calibri"/>
        <family val="2"/>
        <scheme val="minor"/>
      </rPr>
      <t>(head pressure avaiable to zones):</t>
    </r>
  </si>
  <si>
    <r>
      <t>f</t>
    </r>
    <r>
      <rPr>
        <sz val="8"/>
        <color theme="1"/>
        <rFont val="Calibri"/>
        <family val="2"/>
        <scheme val="minor"/>
      </rPr>
      <t xml:space="preserve">demand </t>
    </r>
    <r>
      <rPr>
        <sz val="11"/>
        <color theme="1"/>
        <rFont val="Calibri"/>
        <family val="2"/>
        <scheme val="minor"/>
      </rPr>
      <t>(demanded flow of system):</t>
    </r>
  </si>
  <si>
    <t>GPM</t>
  </si>
  <si>
    <t>Q (total heat load of system):</t>
  </si>
  <si>
    <t>Btu/hr</t>
  </si>
  <si>
    <t>Pipe c values from Figure 6-28, page 210</t>
  </si>
  <si>
    <t>Percent fluid mixture methanol (.75):</t>
  </si>
  <si>
    <t>c (Specific heat of fluid):</t>
  </si>
  <si>
    <t>Btu/lb./°F</t>
  </si>
  <si>
    <t>c</t>
  </si>
  <si>
    <t>D (Density of liquid):</t>
  </si>
  <si>
    <t>lb./ft.3</t>
  </si>
  <si>
    <t>Dynamic Viscosity:</t>
  </si>
  <si>
    <t>lbm./ft./sec.</t>
  </si>
  <si>
    <t>Flow estimation:</t>
  </si>
  <si>
    <t>a:</t>
  </si>
  <si>
    <t>ΔT:</t>
  </si>
  <si>
    <r>
      <t>R</t>
    </r>
    <r>
      <rPr>
        <sz val="8"/>
        <color theme="1"/>
        <rFont val="Calibri"/>
        <family val="2"/>
        <scheme val="minor"/>
      </rPr>
      <t>e</t>
    </r>
    <r>
      <rPr>
        <sz val="11"/>
        <color theme="1"/>
        <rFont val="Calibri"/>
        <family val="2"/>
        <scheme val="minor"/>
      </rPr>
      <t xml:space="preserve"> (equivalent hydrolic resistances of zones):</t>
    </r>
  </si>
  <si>
    <t>Btu dissipation:</t>
  </si>
  <si>
    <t>Btu</t>
  </si>
  <si>
    <r>
      <t>R</t>
    </r>
    <r>
      <rPr>
        <sz val="8"/>
        <color theme="1"/>
        <rFont val="Calibri"/>
        <family val="2"/>
        <scheme val="minor"/>
      </rPr>
      <t>h</t>
    </r>
    <r>
      <rPr>
        <sz val="11"/>
        <color theme="1"/>
        <rFont val="Calibri"/>
        <family val="2"/>
        <scheme val="minor"/>
      </rPr>
      <t xml:space="preserve"> (equivalent hydrolic resistances of header):</t>
    </r>
  </si>
  <si>
    <t>f (Flow Rate):</t>
  </si>
  <si>
    <t>.</t>
  </si>
  <si>
    <t>5/8" manifold ports &amp; pipe</t>
  </si>
  <si>
    <t>Zone 1</t>
  </si>
  <si>
    <r>
      <t>L</t>
    </r>
    <r>
      <rPr>
        <sz val="8"/>
        <color theme="1"/>
        <rFont val="Calibri"/>
        <family val="2"/>
        <scheme val="minor"/>
      </rPr>
      <t>zone</t>
    </r>
    <r>
      <rPr>
        <sz val="11"/>
        <color theme="1"/>
        <rFont val="Calibri"/>
        <family val="2"/>
        <scheme val="minor"/>
      </rPr>
      <t xml:space="preserve"> (loop distance of zone):</t>
    </r>
  </si>
  <si>
    <r>
      <t>Q</t>
    </r>
    <r>
      <rPr>
        <sz val="8"/>
        <color theme="1"/>
        <rFont val="Calibri"/>
        <family val="2"/>
        <scheme val="minor"/>
      </rPr>
      <t>zone</t>
    </r>
    <r>
      <rPr>
        <sz val="11"/>
        <color theme="1"/>
        <rFont val="Calibri"/>
        <family val="2"/>
        <scheme val="minor"/>
      </rPr>
      <t xml:space="preserve"> (heat dissipation of zone):</t>
    </r>
  </si>
  <si>
    <r>
      <t>f</t>
    </r>
    <r>
      <rPr>
        <sz val="8"/>
        <color theme="1"/>
        <rFont val="Calibri"/>
        <family val="2"/>
        <scheme val="minor"/>
      </rPr>
      <t xml:space="preserve">zone </t>
    </r>
    <r>
      <rPr>
        <sz val="11"/>
        <color theme="1"/>
        <rFont val="Calibri"/>
        <family val="2"/>
        <scheme val="minor"/>
      </rPr>
      <t>(flow of zone):</t>
    </r>
  </si>
  <si>
    <r>
      <t>r</t>
    </r>
    <r>
      <rPr>
        <sz val="8"/>
        <color theme="1"/>
        <rFont val="Calibri"/>
        <family val="2"/>
        <scheme val="minor"/>
      </rPr>
      <t>zone</t>
    </r>
    <r>
      <rPr>
        <sz val="11"/>
        <color theme="1"/>
        <rFont val="Calibri"/>
        <family val="2"/>
        <scheme val="minor"/>
      </rPr>
      <t xml:space="preserve"> (hydrolic resistance of zone):</t>
    </r>
  </si>
  <si>
    <r>
      <t>H</t>
    </r>
    <r>
      <rPr>
        <sz val="8"/>
        <color theme="1"/>
        <rFont val="Calibri"/>
        <family val="2"/>
        <scheme val="minor"/>
      </rPr>
      <t xml:space="preserve">Lzone </t>
    </r>
    <r>
      <rPr>
        <sz val="11"/>
        <color theme="1"/>
        <rFont val="Calibri"/>
        <family val="2"/>
        <scheme val="minor"/>
      </rPr>
      <t>(head loss  of zone):</t>
    </r>
  </si>
  <si>
    <r>
      <t>r</t>
    </r>
    <r>
      <rPr>
        <sz val="8"/>
        <color theme="1"/>
        <rFont val="Calibri"/>
        <family val="2"/>
        <scheme val="minor"/>
      </rPr>
      <t>balance</t>
    </r>
    <r>
      <rPr>
        <sz val="11"/>
        <color theme="1"/>
        <rFont val="Calibri"/>
        <family val="2"/>
        <scheme val="minor"/>
      </rPr>
      <t xml:space="preserve"> (manually added hydrolic resistance of zone):</t>
    </r>
  </si>
  <si>
    <t>Zone 2</t>
  </si>
  <si>
    <t>Zone 3</t>
  </si>
  <si>
    <t>Zone 4</t>
  </si>
  <si>
    <t>Zone 5</t>
  </si>
  <si>
    <t>Zone 6</t>
  </si>
  <si>
    <t>Zone 7</t>
  </si>
  <si>
    <t>Zone 8</t>
  </si>
  <si>
    <t>Zone 9</t>
  </si>
  <si>
    <t>Zone 10</t>
  </si>
  <si>
    <t>Zone 11</t>
  </si>
  <si>
    <t>Zone 12</t>
  </si>
  <si>
    <t>3/4" manifold suppy/return ports &amp; header pipe</t>
  </si>
  <si>
    <t>1/2" manifold ports &amp; pipe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</si>
</sst>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name val="Tahoma"/>
      <family val="2"/>
    </font>
    <font>
      <b/>
      <sz val="14"/>
      <color theme="1"/>
      <name val="Calibri"/>
      <family val="2"/>
      <scheme val="minor"/>
    </font>
    <font>
      <b/>
      <u/>
      <sz val="11"/>
      <color theme="1"/>
      <name val="Calibri"/>
      <family val="2"/>
      <scheme val="minor"/>
    </font>
    <font>
      <sz val="8"/>
      <color theme="1"/>
      <name val="Calibri"/>
      <family val="2"/>
      <scheme val="minor"/>
    </font>
    <font>
      <sz val="11"/>
      <color theme="1"/>
      <name val="Symbol"/>
      <family val="1"/>
      <charset val="2"/>
    </font>
  </fonts>
  <fills count="4">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s>
  <cellStyleXfs count="1">
    <xf numFmtId="0" fontId="0" fillId="0" borderId="0"/>
  </cellStyleXfs>
  <cellXfs count="62">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vertical="center" textRotation="90"/>
    </xf>
    <xf numFmtId="0" fontId="0" fillId="0" borderId="5" xfId="0" applyBorder="1" applyAlignment="1">
      <alignment horizontal="right"/>
    </xf>
    <xf numFmtId="0" fontId="0" fillId="2" borderId="5" xfId="0" applyFill="1" applyBorder="1"/>
    <xf numFmtId="0" fontId="0" fillId="0" borderId="6" xfId="0" applyFill="1" applyBorder="1"/>
    <xf numFmtId="0" fontId="0" fillId="0" borderId="6" xfId="0" applyBorder="1"/>
    <xf numFmtId="0" fontId="4" fillId="0" borderId="7"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0" fillId="0" borderId="9" xfId="0" applyBorder="1" applyAlignment="1">
      <alignment horizontal="center" vertical="center" textRotation="90"/>
    </xf>
    <xf numFmtId="0" fontId="0" fillId="0" borderId="10" xfId="0" applyBorder="1" applyAlignment="1">
      <alignment horizontal="right"/>
    </xf>
    <xf numFmtId="0" fontId="0" fillId="2" borderId="10" xfId="0" applyFill="1" applyBorder="1"/>
    <xf numFmtId="0" fontId="0" fillId="0" borderId="0" xfId="0" applyBorder="1"/>
    <xf numFmtId="0" fontId="0" fillId="0" borderId="11" xfId="0" applyBorder="1" applyAlignment="1"/>
    <xf numFmtId="0" fontId="0" fillId="0" borderId="12" xfId="0" applyBorder="1" applyAlignment="1"/>
    <xf numFmtId="0" fontId="0" fillId="0" borderId="13" xfId="0" applyBorder="1" applyAlignment="1"/>
    <xf numFmtId="0" fontId="1" fillId="0" borderId="14" xfId="0" applyFont="1" applyBorder="1"/>
    <xf numFmtId="0" fontId="0" fillId="0" borderId="15" xfId="0" applyBorder="1"/>
    <xf numFmtId="0" fontId="1" fillId="0" borderId="15" xfId="0" applyFont="1" applyBorder="1"/>
    <xf numFmtId="0" fontId="0" fillId="0" borderId="16" xfId="0" applyBorder="1"/>
    <xf numFmtId="0" fontId="0" fillId="0" borderId="10" xfId="0" applyFill="1" applyBorder="1" applyAlignment="1">
      <alignment horizontal="right"/>
    </xf>
    <xf numFmtId="0" fontId="0" fillId="0" borderId="0" xfId="0" applyFill="1" applyBorder="1"/>
    <xf numFmtId="0" fontId="0" fillId="0" borderId="17" xfId="0" applyBorder="1"/>
    <xf numFmtId="0" fontId="0" fillId="0" borderId="10" xfId="0" applyFill="1" applyBorder="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alignment horizontal="right"/>
    </xf>
    <xf numFmtId="0" fontId="0" fillId="0" borderId="10" xfId="0" applyBorder="1"/>
    <xf numFmtId="0" fontId="0" fillId="0" borderId="14" xfId="0" applyBorder="1"/>
    <xf numFmtId="0" fontId="0" fillId="0" borderId="15" xfId="0" applyFill="1" applyBorder="1" applyAlignment="1"/>
    <xf numFmtId="0" fontId="0" fillId="0" borderId="6" xfId="0" applyBorder="1" applyAlignment="1"/>
    <xf numFmtId="0" fontId="0" fillId="0" borderId="8" xfId="0" applyBorder="1" applyAlignment="1"/>
    <xf numFmtId="0" fontId="6" fillId="0" borderId="10" xfId="0" applyFont="1" applyBorder="1" applyAlignment="1">
      <alignment horizontal="right"/>
    </xf>
    <xf numFmtId="0" fontId="0" fillId="0" borderId="22" xfId="0" applyBorder="1" applyAlignment="1">
      <alignment horizontal="right"/>
    </xf>
    <xf numFmtId="0" fontId="0" fillId="0" borderId="10" xfId="0" applyBorder="1" applyAlignment="1">
      <alignment horizontal="right"/>
    </xf>
    <xf numFmtId="0" fontId="0" fillId="3" borderId="10" xfId="0" applyFill="1" applyBorder="1" applyAlignment="1">
      <alignment horizontal="left"/>
    </xf>
    <xf numFmtId="0" fontId="0" fillId="0" borderId="0" xfId="0" applyBorder="1" applyAlignment="1"/>
    <xf numFmtId="0" fontId="0" fillId="0" borderId="0" xfId="0" applyFill="1" applyBorder="1" applyAlignment="1"/>
    <xf numFmtId="0" fontId="0" fillId="0" borderId="23" xfId="0" applyBorder="1" applyAlignment="1">
      <alignment horizontal="right"/>
    </xf>
    <xf numFmtId="0" fontId="0" fillId="0" borderId="24" xfId="0" applyBorder="1" applyAlignment="1">
      <alignment horizontal="right"/>
    </xf>
    <xf numFmtId="0" fontId="0" fillId="0" borderId="24" xfId="0" applyBorder="1" applyAlignment="1">
      <alignment horizontal="left"/>
    </xf>
    <xf numFmtId="0" fontId="0" fillId="0" borderId="14" xfId="0" applyBorder="1" applyAlignment="1">
      <alignment horizontal="center" vertical="center" textRotation="90"/>
    </xf>
    <xf numFmtId="0" fontId="0" fillId="0" borderId="15" xfId="0"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7" xfId="0" applyBorder="1" applyAlignment="1">
      <alignment horizontal="center" vertical="center" textRotation="90"/>
    </xf>
    <xf numFmtId="0" fontId="0" fillId="0" borderId="25" xfId="0" applyBorder="1" applyAlignment="1">
      <alignment horizontal="right"/>
    </xf>
    <xf numFmtId="0" fontId="0" fillId="2" borderId="25" xfId="0" applyFill="1" applyBorder="1"/>
    <xf numFmtId="0" fontId="0" fillId="0" borderId="26" xfId="0" applyBorder="1" applyAlignment="1"/>
    <xf numFmtId="0" fontId="0" fillId="0" borderId="27" xfId="0" applyBorder="1" applyAlignment="1"/>
    <xf numFmtId="0" fontId="0" fillId="0" borderId="28" xfId="0" applyBorder="1" applyAlignment="1">
      <alignment horizontal="center" vertical="center" textRotation="90"/>
    </xf>
    <xf numFmtId="0" fontId="1" fillId="0" borderId="0" xfId="0" applyFont="1" applyBorder="1"/>
    <xf numFmtId="0" fontId="0" fillId="0" borderId="0" xfId="0" applyBorder="1" applyAlignment="1">
      <alignment horizontal="center" vertical="center"/>
    </xf>
    <xf numFmtId="0" fontId="0" fillId="0" borderId="0" xfId="0" applyBorder="1" applyAlignment="1">
      <alignment horizontal="center"/>
    </xf>
    <xf numFmtId="0" fontId="0" fillId="0" borderId="17" xfId="0" applyBorder="1" applyAlignment="1"/>
    <xf numFmtId="0" fontId="0" fillId="0" borderId="24" xfId="0" applyBorder="1" applyAlignment="1">
      <alignment horizontal="right"/>
    </xf>
    <xf numFmtId="0" fontId="0" fillId="3" borderId="24" xfId="0" applyFill="1" applyBorder="1"/>
  </cellXfs>
  <cellStyles count="1">
    <cellStyle name="Normal" xfId="0" builtinId="0"/>
  </cellStyles>
  <dxfs count="3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7CE"/>
        </patternFill>
      </fill>
    </dxf>
    <dxf>
      <fill>
        <patternFill>
          <bgColor rgb="FF00B050"/>
        </patternFill>
      </fill>
    </dxf>
    <dxf>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00B050"/>
        </patternFill>
      </fill>
    </dxf>
    <dxf>
      <fill>
        <patternFill>
          <bgColor rgb="FFFF0000"/>
        </patternFill>
      </fill>
    </dxf>
    <dxf>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7CE"/>
        </patternFill>
      </fill>
    </dxf>
    <dxf>
      <fill>
        <patternFill>
          <bgColor rgb="FF00B050"/>
        </patternFill>
      </fill>
    </dxf>
    <dxf>
      <fill>
        <patternFill>
          <bgColor rgb="FFFFC7CE"/>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B1:Q91"/>
  <sheetViews>
    <sheetView tabSelected="1" workbookViewId="0"/>
  </sheetViews>
  <sheetFormatPr defaultRowHeight="15"/>
  <cols>
    <col min="1" max="1" width="6.5703125" customWidth="1"/>
    <col min="3" max="3" width="52.5703125" bestFit="1" customWidth="1"/>
    <col min="5" max="5" width="12.140625" bestFit="1" customWidth="1"/>
    <col min="6" max="6" width="2.7109375" customWidth="1"/>
    <col min="7" max="8" width="5.85546875" customWidth="1"/>
    <col min="9" max="9" width="1.42578125" customWidth="1"/>
    <col min="10" max="11" width="5.85546875" customWidth="1"/>
    <col min="12" max="12" width="1.42578125" customWidth="1"/>
    <col min="13" max="14" width="5.85546875" customWidth="1"/>
    <col min="15" max="15" width="1.42578125" customWidth="1"/>
    <col min="16" max="17" width="5.85546875" customWidth="1"/>
  </cols>
  <sheetData>
    <row r="1" spans="2:17" ht="15.75" thickBot="1"/>
    <row r="2" spans="2:17" ht="19.5" thickBot="1">
      <c r="B2" s="1" t="s">
        <v>0</v>
      </c>
      <c r="C2" s="2"/>
      <c r="D2" s="2"/>
      <c r="E2" s="2"/>
      <c r="F2" s="2"/>
      <c r="G2" s="2"/>
      <c r="H2" s="2"/>
      <c r="I2" s="2"/>
      <c r="J2" s="2"/>
      <c r="K2" s="2"/>
      <c r="L2" s="2"/>
      <c r="M2" s="2"/>
      <c r="N2" s="2"/>
      <c r="O2" s="2"/>
      <c r="P2" s="2"/>
      <c r="Q2" s="3"/>
    </row>
    <row r="3" spans="2:17">
      <c r="B3" s="4" t="s">
        <v>1</v>
      </c>
      <c r="C3" s="5" t="s">
        <v>2</v>
      </c>
      <c r="D3" s="6">
        <v>50</v>
      </c>
      <c r="E3" s="7" t="s">
        <v>3</v>
      </c>
      <c r="F3" s="8"/>
      <c r="G3" s="9" t="s">
        <v>4</v>
      </c>
      <c r="H3" s="10"/>
      <c r="I3" s="10"/>
      <c r="J3" s="10"/>
      <c r="K3" s="10"/>
      <c r="L3" s="10"/>
      <c r="M3" s="10"/>
      <c r="N3" s="10"/>
      <c r="O3" s="10"/>
      <c r="P3" s="10"/>
      <c r="Q3" s="11"/>
    </row>
    <row r="4" spans="2:17">
      <c r="B4" s="12"/>
      <c r="C4" s="13" t="s">
        <v>5</v>
      </c>
      <c r="D4" s="14">
        <v>5</v>
      </c>
      <c r="E4" s="15" t="s">
        <v>6</v>
      </c>
      <c r="F4" s="15"/>
      <c r="G4" s="16">
        <v>0.5</v>
      </c>
      <c r="H4" s="17" t="s">
        <v>7</v>
      </c>
      <c r="I4" s="15"/>
      <c r="J4" s="17">
        <v>0.625</v>
      </c>
      <c r="K4" s="17" t="s">
        <v>7</v>
      </c>
      <c r="L4" s="15"/>
      <c r="M4" s="17">
        <v>0.75</v>
      </c>
      <c r="N4" s="17" t="s">
        <v>7</v>
      </c>
      <c r="O4" s="15"/>
      <c r="P4" s="17">
        <v>1</v>
      </c>
      <c r="Q4" s="18" t="s">
        <v>7</v>
      </c>
    </row>
    <row r="5" spans="2:17" ht="15.75" thickBot="1">
      <c r="B5" s="12"/>
      <c r="C5" s="13" t="s">
        <v>8</v>
      </c>
      <c r="D5" s="14">
        <v>100</v>
      </c>
      <c r="E5" s="15" t="s">
        <v>6</v>
      </c>
      <c r="F5" s="15"/>
      <c r="G5" s="19">
        <f>(0.408/(G4*G4))*SystemFlow</f>
        <v>15.57175728890682</v>
      </c>
      <c r="H5" s="20" t="s">
        <v>9</v>
      </c>
      <c r="I5" s="20"/>
      <c r="J5" s="21">
        <f>(0.408/(J4*J4))*SystemFlow</f>
        <v>9.9659246649003652</v>
      </c>
      <c r="K5" s="20" t="s">
        <v>9</v>
      </c>
      <c r="L5" s="20"/>
      <c r="M5" s="21">
        <f>(0.408/(M4*M4))*SystemFlow</f>
        <v>6.9207810172919206</v>
      </c>
      <c r="N5" s="20" t="s">
        <v>9</v>
      </c>
      <c r="O5" s="20"/>
      <c r="P5" s="21">
        <f>(0.408/(P4*P4))*SystemFlow</f>
        <v>3.892939322226705</v>
      </c>
      <c r="Q5" s="22" t="s">
        <v>9</v>
      </c>
    </row>
    <row r="6" spans="2:17" ht="15.75" thickBot="1">
      <c r="B6" s="12"/>
      <c r="C6" s="23" t="s">
        <v>10</v>
      </c>
      <c r="D6" s="14">
        <v>100</v>
      </c>
      <c r="E6" s="24" t="s">
        <v>11</v>
      </c>
      <c r="F6" s="15"/>
      <c r="G6" s="15"/>
      <c r="H6" s="15"/>
      <c r="I6" s="15"/>
      <c r="J6" s="15"/>
      <c r="K6" s="15"/>
      <c r="L6" s="15"/>
      <c r="M6" s="15"/>
      <c r="N6" s="15"/>
      <c r="O6" s="15"/>
      <c r="P6" s="15"/>
      <c r="Q6" s="25"/>
    </row>
    <row r="7" spans="2:17">
      <c r="B7" s="12"/>
      <c r="C7" s="23" t="s">
        <v>12</v>
      </c>
      <c r="D7" s="14">
        <v>9</v>
      </c>
      <c r="E7" s="24" t="s">
        <v>3</v>
      </c>
      <c r="F7" s="15"/>
      <c r="G7" s="9" t="s">
        <v>13</v>
      </c>
      <c r="H7" s="10"/>
      <c r="I7" s="10"/>
      <c r="J7" s="10"/>
      <c r="K7" s="10"/>
      <c r="L7" s="10"/>
      <c r="M7" s="10"/>
      <c r="N7" s="10"/>
      <c r="O7" s="10"/>
      <c r="P7" s="10"/>
      <c r="Q7" s="11"/>
    </row>
    <row r="8" spans="2:17" ht="15.75" thickBot="1">
      <c r="B8" s="12"/>
      <c r="C8" s="23" t="s">
        <v>14</v>
      </c>
      <c r="D8" s="26">
        <f>CirculatorHead-IF(HeaderResistance&gt;0,(HeaderResistance*SystemFlow^1.75),0)</f>
        <v>3.1726410871954567</v>
      </c>
      <c r="E8" s="24"/>
      <c r="F8" s="15"/>
      <c r="G8" s="27">
        <f>Alpha*0.786*1*SystemFlow^1.75</f>
        <v>2.1214933327764576</v>
      </c>
      <c r="H8" s="28" t="s">
        <v>3</v>
      </c>
      <c r="I8" s="20"/>
      <c r="J8" s="28">
        <f>Alpha*0.2947*1*SystemFlow^1.75</f>
        <v>0.79542504474455722</v>
      </c>
      <c r="K8" s="28" t="s">
        <v>3</v>
      </c>
      <c r="L8" s="20"/>
      <c r="M8" s="28">
        <f>Alpha*0.14203*1*SystemFlow^1.75</f>
        <v>0.38335330541251933</v>
      </c>
      <c r="N8" s="28" t="s">
        <v>3</v>
      </c>
      <c r="O8" s="20"/>
      <c r="P8" s="20">
        <f>Alpha*0.04318*1*SystemFlow^1.75</f>
        <v>0.11654717825609087</v>
      </c>
      <c r="Q8" s="29" t="s">
        <v>3</v>
      </c>
    </row>
    <row r="9" spans="2:17" ht="15.75" thickBot="1">
      <c r="B9" s="12"/>
      <c r="C9" s="13" t="s">
        <v>15</v>
      </c>
      <c r="D9" s="26">
        <f>IF(ZoneResistance&gt;0,(CirculatorHead/(ZoneResistance+HeaderResistance))^0.57,0)</f>
        <v>9.541517946634082</v>
      </c>
      <c r="E9" s="15" t="s">
        <v>16</v>
      </c>
      <c r="F9" s="15"/>
      <c r="G9" s="15"/>
      <c r="H9" s="15"/>
      <c r="I9" s="15"/>
      <c r="J9" s="15"/>
      <c r="K9" s="15"/>
      <c r="L9" s="15"/>
      <c r="M9" s="15"/>
      <c r="N9" s="15"/>
      <c r="O9" s="15"/>
      <c r="P9" s="15"/>
      <c r="Q9" s="25"/>
    </row>
    <row r="10" spans="2:17">
      <c r="B10" s="12"/>
      <c r="C10" s="30" t="s">
        <v>17</v>
      </c>
      <c r="D10" s="26">
        <f>IF(J23,D21,0)+IF(J29,D27,0)+IF(J35,D33,0)+IF(J41,D39,0)+IF(J47,D45,0)+IF(J53,D51,0)+IF(J59,D57,0)+IF(J65,D63,0)+IF(J71,D69,0)+IF(J77,D75,0)+IF(J83,D81,0)+IF(J89,D87,0)</f>
        <v>24078.716499098609</v>
      </c>
      <c r="E10" s="15" t="s">
        <v>18</v>
      </c>
      <c r="F10" s="15"/>
      <c r="G10" s="9" t="s">
        <v>19</v>
      </c>
      <c r="H10" s="10"/>
      <c r="I10" s="10"/>
      <c r="J10" s="10"/>
      <c r="K10" s="10"/>
      <c r="L10" s="10"/>
      <c r="M10" s="10"/>
      <c r="N10" s="10"/>
      <c r="O10" s="10"/>
      <c r="P10" s="10"/>
      <c r="Q10" s="11"/>
    </row>
    <row r="11" spans="2:17">
      <c r="B11" s="12"/>
      <c r="C11" s="23" t="s">
        <v>20</v>
      </c>
      <c r="D11" s="31">
        <f>100-D6</f>
        <v>0</v>
      </c>
      <c r="E11" s="24" t="s">
        <v>11</v>
      </c>
      <c r="F11" s="15"/>
      <c r="G11" s="16">
        <v>0.5</v>
      </c>
      <c r="H11" s="17" t="s">
        <v>7</v>
      </c>
      <c r="I11" s="15"/>
      <c r="J11" s="17">
        <v>0.625</v>
      </c>
      <c r="K11" s="17" t="s">
        <v>7</v>
      </c>
      <c r="L11" s="15"/>
      <c r="M11" s="17">
        <v>0.75</v>
      </c>
      <c r="N11" s="17" t="s">
        <v>7</v>
      </c>
      <c r="O11" s="15"/>
      <c r="P11" s="17">
        <v>1</v>
      </c>
      <c r="Q11" s="18" t="s">
        <v>7</v>
      </c>
    </row>
    <row r="12" spans="2:17" ht="15.75" thickBot="1">
      <c r="B12" s="12"/>
      <c r="C12" s="23" t="s">
        <v>21</v>
      </c>
      <c r="D12" s="31">
        <f>((D6*1) + (D11*0.75))/100</f>
        <v>1</v>
      </c>
      <c r="E12" s="24" t="s">
        <v>22</v>
      </c>
      <c r="F12" s="15"/>
      <c r="G12" s="32">
        <v>0.78600000000000003</v>
      </c>
      <c r="H12" s="33" t="s">
        <v>23</v>
      </c>
      <c r="I12" s="20"/>
      <c r="J12" s="20">
        <v>0.29470000000000002</v>
      </c>
      <c r="K12" s="33" t="s">
        <v>23</v>
      </c>
      <c r="L12" s="20"/>
      <c r="M12" s="20">
        <v>0.14202999999999999</v>
      </c>
      <c r="N12" s="33" t="s">
        <v>23</v>
      </c>
      <c r="O12" s="20"/>
      <c r="P12" s="20">
        <v>4.3180000000000003E-2</v>
      </c>
      <c r="Q12" s="22" t="s">
        <v>23</v>
      </c>
    </row>
    <row r="13" spans="2:17" ht="15.75" thickBot="1">
      <c r="B13" s="12"/>
      <c r="C13" s="23" t="s">
        <v>24</v>
      </c>
      <c r="D13" s="31">
        <f>62.56+3.413*10^-4*TempIn-6.255*10^-5*(TempIn*TempIn)</f>
        <v>61.968629999999997</v>
      </c>
      <c r="E13" s="15" t="s">
        <v>25</v>
      </c>
      <c r="F13" s="15"/>
      <c r="G13" s="34"/>
      <c r="H13" s="34"/>
      <c r="I13" s="34"/>
      <c r="J13" s="34"/>
      <c r="K13" s="34"/>
      <c r="L13" s="34"/>
      <c r="M13" s="34"/>
      <c r="N13" s="34"/>
      <c r="O13" s="34"/>
      <c r="P13" s="34"/>
      <c r="Q13" s="35"/>
    </row>
    <row r="14" spans="2:17">
      <c r="B14" s="12"/>
      <c r="C14" s="13" t="s">
        <v>26</v>
      </c>
      <c r="D14" s="31">
        <f>0.001834-2.73*10^-5*D5+1.92*10^-7*TempIn^2-6.53*10^-10*TempIn^3+8.58*10^-13*TempIn^4</f>
        <v>4.5679999999999929E-4</v>
      </c>
      <c r="E14" s="15" t="s">
        <v>27</v>
      </c>
      <c r="F14" s="15"/>
      <c r="G14" s="9" t="s">
        <v>28</v>
      </c>
      <c r="H14" s="10"/>
      <c r="I14" s="10"/>
      <c r="J14" s="10"/>
      <c r="K14" s="10"/>
      <c r="L14" s="10"/>
      <c r="M14" s="10"/>
      <c r="N14" s="10"/>
      <c r="O14" s="10"/>
      <c r="P14" s="10"/>
      <c r="Q14" s="11"/>
    </row>
    <row r="15" spans="2:17">
      <c r="B15" s="12"/>
      <c r="C15" s="36" t="s">
        <v>29</v>
      </c>
      <c r="D15" s="31">
        <f>(Density/DynamicViscosity)^-0.25</f>
        <v>5.2106097776250387E-2</v>
      </c>
      <c r="E15" s="15"/>
      <c r="F15" s="15"/>
      <c r="G15" s="37" t="s">
        <v>30</v>
      </c>
      <c r="H15" s="38"/>
      <c r="I15" s="38"/>
      <c r="J15" s="38"/>
      <c r="K15" s="39">
        <v>5</v>
      </c>
      <c r="L15" s="39"/>
      <c r="M15" s="39"/>
      <c r="N15" s="40" t="s">
        <v>6</v>
      </c>
      <c r="O15" s="15"/>
      <c r="P15" s="15"/>
      <c r="Q15" s="25"/>
    </row>
    <row r="16" spans="2:17">
      <c r="B16" s="12"/>
      <c r="C16" s="13" t="s">
        <v>31</v>
      </c>
      <c r="D16" s="31">
        <f>IF(AND(NOT(J23),NOT(J29),NOT(J35),NOT(J41),NOT(J47),NOT(J53),NOT(J59),NOT(J65),NOT(J71),NOT(J77),NOT(J83),NOT(J89)),0,(IF(J23,((1/D23)^0.5714),0)+IF(J29,((1/D29)^0.5714),0)+IF(J35,((1/D35)^0.5714),0)+IF(J41,((1/D41)^0.5714),0)+IF(J47,((1/D47)^0.5714),0)+IF(J53,((1/D53)^0.5714),0)+IF(J59,((1/D59)^0.5714),0)+IF(J65,((1/D65)^0.5714),0)+IF(J71,((1/D71)^0.5714),0)+IF(J77,((1/D77)^0.5714),0)+IF(J83,((1/D83)^0.5714),0)+IF(J89,((1/D89)^0.5714),0))^-1.75)</f>
        <v>5.9537362369360747E-2</v>
      </c>
      <c r="E16" s="15"/>
      <c r="F16" s="15"/>
      <c r="G16" s="37" t="s">
        <v>32</v>
      </c>
      <c r="H16" s="38"/>
      <c r="I16" s="38"/>
      <c r="J16" s="38"/>
      <c r="K16" s="39">
        <v>24000</v>
      </c>
      <c r="L16" s="39"/>
      <c r="M16" s="39"/>
      <c r="N16" s="41" t="s">
        <v>33</v>
      </c>
      <c r="O16" s="15"/>
      <c r="P16" s="15"/>
      <c r="Q16" s="25"/>
    </row>
    <row r="17" spans="2:17" ht="15.75" thickBot="1">
      <c r="B17" s="12"/>
      <c r="C17" s="13" t="s">
        <v>34</v>
      </c>
      <c r="D17" s="31">
        <f>Alpha*OneInchc*ManifoldDistance</f>
        <v>0.11249706509892458</v>
      </c>
      <c r="E17" s="15"/>
      <c r="F17" s="15"/>
      <c r="G17" s="42" t="s">
        <v>35</v>
      </c>
      <c r="H17" s="43"/>
      <c r="I17" s="43"/>
      <c r="J17" s="43"/>
      <c r="K17" s="44">
        <f>K16/((8.01*Density*SpecificHeat)*K15)</f>
        <v>9.6702305074291299</v>
      </c>
      <c r="L17" s="44"/>
      <c r="M17" s="44"/>
      <c r="N17" s="33" t="s">
        <v>16</v>
      </c>
      <c r="O17" s="20"/>
      <c r="P17" s="20"/>
      <c r="Q17" s="22"/>
    </row>
    <row r="18" spans="2:17" ht="15.75" thickBot="1">
      <c r="B18" s="45"/>
      <c r="C18" s="46"/>
      <c r="D18" s="20"/>
      <c r="E18" s="20"/>
      <c r="F18" s="20"/>
      <c r="G18" s="20"/>
      <c r="H18" s="20"/>
      <c r="I18" s="20"/>
      <c r="J18" s="20"/>
      <c r="K18" s="20" t="s">
        <v>36</v>
      </c>
      <c r="L18" s="20"/>
      <c r="M18" s="20"/>
      <c r="N18" s="20"/>
      <c r="O18" s="20"/>
      <c r="P18" s="20"/>
      <c r="Q18" s="22"/>
    </row>
    <row r="19" spans="2:17" ht="19.5" thickBot="1">
      <c r="B19" s="47" t="s">
        <v>37</v>
      </c>
      <c r="C19" s="48"/>
      <c r="D19" s="48"/>
      <c r="E19" s="48"/>
      <c r="F19" s="48"/>
      <c r="G19" s="48"/>
      <c r="H19" s="48"/>
      <c r="I19" s="48"/>
      <c r="J19" s="48"/>
      <c r="K19" s="48"/>
      <c r="L19" s="48"/>
      <c r="M19" s="48"/>
      <c r="N19" s="48"/>
      <c r="O19" s="48"/>
      <c r="P19" s="48"/>
      <c r="Q19" s="49"/>
    </row>
    <row r="20" spans="2:17">
      <c r="B20" s="50" t="s">
        <v>38</v>
      </c>
      <c r="C20" s="51" t="s">
        <v>39</v>
      </c>
      <c r="D20" s="52">
        <v>300</v>
      </c>
      <c r="E20" s="7" t="s">
        <v>3</v>
      </c>
      <c r="F20" s="8"/>
      <c r="G20" s="53">
        <v>0.5</v>
      </c>
      <c r="H20" s="53" t="s">
        <v>7</v>
      </c>
      <c r="I20" s="8"/>
      <c r="J20" s="53">
        <v>0.625</v>
      </c>
      <c r="K20" s="53" t="s">
        <v>7</v>
      </c>
      <c r="L20" s="8"/>
      <c r="M20" s="53">
        <v>0.75</v>
      </c>
      <c r="N20" s="53" t="s">
        <v>7</v>
      </c>
      <c r="O20" s="8"/>
      <c r="P20" s="53">
        <v>1</v>
      </c>
      <c r="Q20" s="54" t="s">
        <v>7</v>
      </c>
    </row>
    <row r="21" spans="2:17">
      <c r="B21" s="55"/>
      <c r="C21" s="13" t="s">
        <v>40</v>
      </c>
      <c r="D21" s="26">
        <f>(8.01*Density*SpecificHeat)*D22*DeltaTemp</f>
        <v>2006.5597082582176</v>
      </c>
      <c r="E21" s="15" t="s">
        <v>18</v>
      </c>
      <c r="F21" s="15"/>
      <c r="G21" s="56">
        <f>(0.408/(G20*G20))*D22</f>
        <v>1.3194648535928162</v>
      </c>
      <c r="H21" s="15" t="s">
        <v>9</v>
      </c>
      <c r="I21" s="15"/>
      <c r="J21" s="56">
        <f>(0.408/(J20*J20))*D22</f>
        <v>0.84445750629940231</v>
      </c>
      <c r="K21" s="15" t="s">
        <v>9</v>
      </c>
      <c r="L21" s="15"/>
      <c r="M21" s="56">
        <f>(0.408/(M20*M20))*D22</f>
        <v>0.58642882381902939</v>
      </c>
      <c r="N21" s="15" t="s">
        <v>9</v>
      </c>
      <c r="O21" s="15"/>
      <c r="P21" s="56">
        <f>(0.408/(P20*P20))*D22</f>
        <v>0.32986621339820404</v>
      </c>
      <c r="Q21" s="25" t="s">
        <v>9</v>
      </c>
    </row>
    <row r="22" spans="2:17">
      <c r="B22" s="55"/>
      <c r="C22" s="13" t="s">
        <v>41</v>
      </c>
      <c r="D22" s="31">
        <f>IF(J23,(ZoneHead/D23)^0.57,0)</f>
        <v>0.80849562107402961</v>
      </c>
      <c r="E22" s="15" t="s">
        <v>16</v>
      </c>
      <c r="F22" s="15"/>
      <c r="G22" s="15"/>
      <c r="H22" s="15"/>
      <c r="I22" s="15"/>
      <c r="J22" s="15"/>
      <c r="K22" s="15"/>
      <c r="L22" s="15"/>
      <c r="M22" s="15"/>
      <c r="N22" s="15"/>
      <c r="O22" s="15"/>
      <c r="P22" s="15"/>
      <c r="Q22" s="25"/>
    </row>
    <row r="23" spans="2:17">
      <c r="B23" s="55"/>
      <c r="C23" s="13" t="s">
        <v>42</v>
      </c>
      <c r="D23" s="31">
        <f>IF(J23,(Alpha*FiveEightsc*D20)+D25,0)</f>
        <v>4.6067001043982971</v>
      </c>
      <c r="E23" s="15"/>
      <c r="F23" s="15"/>
      <c r="G23" s="40"/>
      <c r="H23" s="40"/>
      <c r="I23" s="40"/>
      <c r="J23" s="57" t="b">
        <v>1</v>
      </c>
      <c r="K23" s="57"/>
      <c r="L23" s="40"/>
      <c r="M23" s="58"/>
      <c r="N23" s="40"/>
      <c r="O23" s="15"/>
      <c r="P23" s="15"/>
      <c r="Q23" s="59"/>
    </row>
    <row r="24" spans="2:17">
      <c r="B24" s="55"/>
      <c r="C24" s="13" t="s">
        <v>43</v>
      </c>
      <c r="D24" s="26">
        <f>D23*D22^1.75</f>
        <v>3.1756005372149834</v>
      </c>
      <c r="E24" s="24" t="s">
        <v>3</v>
      </c>
      <c r="F24" s="15"/>
      <c r="G24" s="15"/>
      <c r="H24" s="15"/>
      <c r="I24" s="15"/>
      <c r="J24" s="57"/>
      <c r="K24" s="57"/>
      <c r="L24" s="15"/>
      <c r="M24" s="15"/>
      <c r="N24" s="15"/>
      <c r="O24" s="15"/>
      <c r="P24" s="15"/>
      <c r="Q24" s="25"/>
    </row>
    <row r="25" spans="2:17" ht="15.75" thickBot="1">
      <c r="B25" s="45"/>
      <c r="C25" s="60" t="s">
        <v>44</v>
      </c>
      <c r="D25" s="61">
        <v>0</v>
      </c>
      <c r="E25" s="20"/>
      <c r="F25" s="20"/>
      <c r="G25" s="20"/>
      <c r="H25" s="20"/>
      <c r="I25" s="20"/>
      <c r="J25" s="20"/>
      <c r="K25" s="20"/>
      <c r="L25" s="20"/>
      <c r="M25" s="20"/>
      <c r="N25" s="20"/>
      <c r="O25" s="20"/>
      <c r="P25" s="20"/>
      <c r="Q25" s="22"/>
    </row>
    <row r="26" spans="2:17">
      <c r="B26" s="55" t="s">
        <v>45</v>
      </c>
      <c r="C26" s="51" t="s">
        <v>39</v>
      </c>
      <c r="D26" s="52">
        <v>300</v>
      </c>
      <c r="E26" s="7" t="s">
        <v>3</v>
      </c>
      <c r="F26" s="15"/>
      <c r="G26" s="17">
        <v>0.5</v>
      </c>
      <c r="H26" s="17" t="s">
        <v>7</v>
      </c>
      <c r="I26" s="15"/>
      <c r="J26" s="17">
        <v>0.625</v>
      </c>
      <c r="K26" s="17" t="s">
        <v>7</v>
      </c>
      <c r="L26" s="15"/>
      <c r="M26" s="17">
        <v>0.75</v>
      </c>
      <c r="N26" s="17" t="s">
        <v>7</v>
      </c>
      <c r="O26" s="15"/>
      <c r="P26" s="17">
        <v>1</v>
      </c>
      <c r="Q26" s="18" t="s">
        <v>7</v>
      </c>
    </row>
    <row r="27" spans="2:17">
      <c r="B27" s="55"/>
      <c r="C27" s="13" t="s">
        <v>40</v>
      </c>
      <c r="D27" s="26">
        <f>(8.01*Density*SpecificHeat)*D28*DeltaTemp</f>
        <v>2006.5597082582176</v>
      </c>
      <c r="E27" s="15" t="s">
        <v>18</v>
      </c>
      <c r="F27" s="15"/>
      <c r="G27" s="56">
        <f>(0.408/(G26*G26))*D28</f>
        <v>1.3194648535928162</v>
      </c>
      <c r="H27" s="15" t="s">
        <v>9</v>
      </c>
      <c r="I27" s="15"/>
      <c r="J27" s="56">
        <f>(0.408/(J26*J26))*D28</f>
        <v>0.84445750629940231</v>
      </c>
      <c r="K27" s="15" t="s">
        <v>9</v>
      </c>
      <c r="L27" s="15"/>
      <c r="M27" s="56">
        <f>(0.408/(M26*M26))*D28</f>
        <v>0.58642882381902939</v>
      </c>
      <c r="N27" s="15" t="s">
        <v>9</v>
      </c>
      <c r="O27" s="15"/>
      <c r="P27" s="56">
        <f>(0.408/(P26*P26))*D28</f>
        <v>0.32986621339820404</v>
      </c>
      <c r="Q27" s="25" t="s">
        <v>9</v>
      </c>
    </row>
    <row r="28" spans="2:17">
      <c r="B28" s="55"/>
      <c r="C28" s="13" t="s">
        <v>41</v>
      </c>
      <c r="D28" s="31">
        <f>IF(J29,(ZoneHead/D29)^0.57,0)</f>
        <v>0.80849562107402961</v>
      </c>
      <c r="E28" s="15" t="s">
        <v>16</v>
      </c>
      <c r="F28" s="15"/>
      <c r="G28" s="15"/>
      <c r="H28" s="15"/>
      <c r="I28" s="15"/>
      <c r="J28" s="15"/>
      <c r="K28" s="15"/>
      <c r="L28" s="15"/>
      <c r="M28" s="15"/>
      <c r="N28" s="15"/>
      <c r="O28" s="15"/>
      <c r="P28" s="15"/>
      <c r="Q28" s="25"/>
    </row>
    <row r="29" spans="2:17">
      <c r="B29" s="55"/>
      <c r="C29" s="13" t="s">
        <v>42</v>
      </c>
      <c r="D29" s="31">
        <f>IF(J29,(Alpha*FiveEightsc*D26)+D31,0)</f>
        <v>4.6067001043982971</v>
      </c>
      <c r="E29" s="15"/>
      <c r="F29" s="15"/>
      <c r="G29" s="40"/>
      <c r="H29" s="40"/>
      <c r="I29" s="40"/>
      <c r="J29" s="57" t="b">
        <v>1</v>
      </c>
      <c r="K29" s="57"/>
      <c r="L29" s="15"/>
      <c r="M29" s="40"/>
      <c r="N29" s="40"/>
      <c r="O29" s="15"/>
      <c r="P29" s="15"/>
      <c r="Q29" s="59"/>
    </row>
    <row r="30" spans="2:17">
      <c r="B30" s="55"/>
      <c r="C30" s="13" t="s">
        <v>43</v>
      </c>
      <c r="D30" s="26">
        <f>D29*D28^1.75</f>
        <v>3.1756005372149834</v>
      </c>
      <c r="E30" s="24" t="s">
        <v>3</v>
      </c>
      <c r="F30" s="15"/>
      <c r="G30" s="15"/>
      <c r="H30" s="15"/>
      <c r="I30" s="15"/>
      <c r="J30" s="57"/>
      <c r="K30" s="57"/>
      <c r="L30" s="15"/>
      <c r="M30" s="15"/>
      <c r="N30" s="15"/>
      <c r="O30" s="15"/>
      <c r="P30" s="15"/>
      <c r="Q30" s="25"/>
    </row>
    <row r="31" spans="2:17" ht="15.75" thickBot="1">
      <c r="B31" s="45"/>
      <c r="C31" s="60" t="s">
        <v>44</v>
      </c>
      <c r="D31" s="61">
        <v>0</v>
      </c>
      <c r="E31" s="20"/>
      <c r="F31" s="20"/>
      <c r="G31" s="20"/>
      <c r="H31" s="20"/>
      <c r="I31" s="20"/>
      <c r="J31" s="20"/>
      <c r="K31" s="20"/>
      <c r="L31" s="20"/>
      <c r="M31" s="20"/>
      <c r="N31" s="20"/>
      <c r="O31" s="20"/>
      <c r="P31" s="20"/>
      <c r="Q31" s="22"/>
    </row>
    <row r="32" spans="2:17">
      <c r="B32" s="50" t="s">
        <v>46</v>
      </c>
      <c r="C32" s="51" t="s">
        <v>39</v>
      </c>
      <c r="D32" s="52">
        <v>300</v>
      </c>
      <c r="E32" s="24" t="s">
        <v>3</v>
      </c>
      <c r="F32" s="8"/>
      <c r="G32" s="53">
        <v>0.5</v>
      </c>
      <c r="H32" s="53" t="s">
        <v>7</v>
      </c>
      <c r="I32" s="8"/>
      <c r="J32" s="53">
        <v>0.625</v>
      </c>
      <c r="K32" s="53" t="s">
        <v>7</v>
      </c>
      <c r="L32" s="8"/>
      <c r="M32" s="53">
        <v>0.75</v>
      </c>
      <c r="N32" s="53" t="s">
        <v>7</v>
      </c>
      <c r="O32" s="8"/>
      <c r="P32" s="53">
        <v>1</v>
      </c>
      <c r="Q32" s="54" t="s">
        <v>7</v>
      </c>
    </row>
    <row r="33" spans="2:17">
      <c r="B33" s="55"/>
      <c r="C33" s="13" t="s">
        <v>40</v>
      </c>
      <c r="D33" s="26">
        <f>(8.01*Density*SpecificHeat)*D34*DeltaTemp</f>
        <v>2006.5597082582176</v>
      </c>
      <c r="E33" s="15" t="s">
        <v>18</v>
      </c>
      <c r="F33" s="15"/>
      <c r="G33" s="56">
        <f>(0.408/(G32*G32))*D34</f>
        <v>1.3194648535928162</v>
      </c>
      <c r="H33" s="15" t="s">
        <v>9</v>
      </c>
      <c r="I33" s="15"/>
      <c r="J33" s="56">
        <f>(0.408/(J32*J32))*D34</f>
        <v>0.84445750629940231</v>
      </c>
      <c r="K33" s="15" t="s">
        <v>9</v>
      </c>
      <c r="L33" s="15"/>
      <c r="M33" s="56">
        <f>(0.408/(M32*M32))*D34</f>
        <v>0.58642882381902939</v>
      </c>
      <c r="N33" s="15" t="s">
        <v>9</v>
      </c>
      <c r="O33" s="15"/>
      <c r="P33" s="56">
        <f>(0.408/(P32*P32))*D34</f>
        <v>0.32986621339820404</v>
      </c>
      <c r="Q33" s="25" t="s">
        <v>9</v>
      </c>
    </row>
    <row r="34" spans="2:17">
      <c r="B34" s="55"/>
      <c r="C34" s="13" t="s">
        <v>41</v>
      </c>
      <c r="D34" s="31">
        <f>IF(J35,(ZoneHead/D35)^0.57,0)</f>
        <v>0.80849562107402961</v>
      </c>
      <c r="E34" s="15" t="s">
        <v>16</v>
      </c>
      <c r="F34" s="15"/>
      <c r="G34" s="15"/>
      <c r="H34" s="15"/>
      <c r="I34" s="15"/>
      <c r="J34" s="15"/>
      <c r="K34" s="15"/>
      <c r="L34" s="15"/>
      <c r="M34" s="15"/>
      <c r="N34" s="15"/>
      <c r="O34" s="15"/>
      <c r="P34" s="15"/>
      <c r="Q34" s="25"/>
    </row>
    <row r="35" spans="2:17">
      <c r="B35" s="55"/>
      <c r="C35" s="13" t="s">
        <v>42</v>
      </c>
      <c r="D35" s="31">
        <f>IF(J35,(Alpha*FiveEightsc*D32)+D37,0)</f>
        <v>4.6067001043982971</v>
      </c>
      <c r="E35" s="15"/>
      <c r="F35" s="15"/>
      <c r="G35" s="40"/>
      <c r="H35" s="40"/>
      <c r="I35" s="40"/>
      <c r="J35" s="57" t="b">
        <v>1</v>
      </c>
      <c r="K35" s="57"/>
      <c r="L35" s="15"/>
      <c r="M35" s="40"/>
      <c r="N35" s="40"/>
      <c r="O35" s="15"/>
      <c r="P35" s="15"/>
      <c r="Q35" s="59"/>
    </row>
    <row r="36" spans="2:17">
      <c r="B36" s="55"/>
      <c r="C36" s="13" t="s">
        <v>43</v>
      </c>
      <c r="D36" s="26">
        <f>D35*D34^1.75</f>
        <v>3.1756005372149834</v>
      </c>
      <c r="E36" s="24"/>
      <c r="F36" s="15"/>
      <c r="G36" s="15"/>
      <c r="H36" s="15"/>
      <c r="I36" s="15"/>
      <c r="J36" s="57"/>
      <c r="K36" s="57"/>
      <c r="L36" s="15"/>
      <c r="M36" s="15"/>
      <c r="N36" s="15"/>
      <c r="O36" s="15"/>
      <c r="P36" s="15"/>
      <c r="Q36" s="25"/>
    </row>
    <row r="37" spans="2:17" ht="15.75" thickBot="1">
      <c r="B37" s="45"/>
      <c r="C37" s="60" t="s">
        <v>44</v>
      </c>
      <c r="D37" s="61">
        <v>0</v>
      </c>
      <c r="E37" s="20"/>
      <c r="F37" s="20"/>
      <c r="G37" s="20"/>
      <c r="H37" s="20"/>
      <c r="I37" s="20"/>
      <c r="J37" s="20"/>
      <c r="K37" s="20"/>
      <c r="L37" s="20"/>
      <c r="M37" s="20"/>
      <c r="N37" s="20"/>
      <c r="O37" s="20"/>
      <c r="P37" s="20"/>
      <c r="Q37" s="22"/>
    </row>
    <row r="38" spans="2:17">
      <c r="B38" s="50" t="s">
        <v>47</v>
      </c>
      <c r="C38" s="51" t="s">
        <v>39</v>
      </c>
      <c r="D38" s="52">
        <v>300</v>
      </c>
      <c r="E38" s="24" t="s">
        <v>3</v>
      </c>
      <c r="F38" s="8"/>
      <c r="G38" s="53">
        <v>0.5</v>
      </c>
      <c r="H38" s="53" t="s">
        <v>7</v>
      </c>
      <c r="I38" s="8"/>
      <c r="J38" s="53">
        <v>0.625</v>
      </c>
      <c r="K38" s="53" t="s">
        <v>7</v>
      </c>
      <c r="L38" s="8"/>
      <c r="M38" s="53">
        <v>0.75</v>
      </c>
      <c r="N38" s="53" t="s">
        <v>7</v>
      </c>
      <c r="O38" s="8"/>
      <c r="P38" s="53">
        <v>1</v>
      </c>
      <c r="Q38" s="54" t="s">
        <v>7</v>
      </c>
    </row>
    <row r="39" spans="2:17">
      <c r="B39" s="55"/>
      <c r="C39" s="13" t="s">
        <v>40</v>
      </c>
      <c r="D39" s="26">
        <f>(8.01*Density*SpecificHeat)*D40*DeltaTemp</f>
        <v>2006.5597082582176</v>
      </c>
      <c r="E39" s="15" t="s">
        <v>18</v>
      </c>
      <c r="F39" s="15"/>
      <c r="G39" s="56">
        <f>(0.408/(G38*G38))*D40</f>
        <v>1.3194648535928162</v>
      </c>
      <c r="H39" s="15" t="s">
        <v>9</v>
      </c>
      <c r="I39" s="15"/>
      <c r="J39" s="56">
        <f>(0.408/(J38*J38))*D40</f>
        <v>0.84445750629940231</v>
      </c>
      <c r="K39" s="15" t="s">
        <v>9</v>
      </c>
      <c r="L39" s="15"/>
      <c r="M39" s="56">
        <f>(0.408/(M38*M38))*D40</f>
        <v>0.58642882381902939</v>
      </c>
      <c r="N39" s="15" t="s">
        <v>9</v>
      </c>
      <c r="O39" s="15"/>
      <c r="P39" s="56">
        <f>(0.408/(P38*P38))*D40</f>
        <v>0.32986621339820404</v>
      </c>
      <c r="Q39" s="25" t="s">
        <v>9</v>
      </c>
    </row>
    <row r="40" spans="2:17">
      <c r="B40" s="55"/>
      <c r="C40" s="13" t="s">
        <v>41</v>
      </c>
      <c r="D40" s="31">
        <f>IF(J41,(ZoneHead/D41)^0.57,0)</f>
        <v>0.80849562107402961</v>
      </c>
      <c r="E40" s="15" t="s">
        <v>16</v>
      </c>
      <c r="F40" s="15"/>
      <c r="G40" s="15"/>
      <c r="H40" s="15"/>
      <c r="I40" s="15"/>
      <c r="J40" s="15"/>
      <c r="K40" s="15"/>
      <c r="L40" s="15"/>
      <c r="M40" s="15"/>
      <c r="N40" s="15"/>
      <c r="O40" s="15"/>
      <c r="P40" s="15"/>
      <c r="Q40" s="25"/>
    </row>
    <row r="41" spans="2:17">
      <c r="B41" s="55"/>
      <c r="C41" s="13" t="s">
        <v>42</v>
      </c>
      <c r="D41" s="31">
        <f>IF(J41,(Alpha*FiveEightsc*D38)+D43,0)</f>
        <v>4.6067001043982971</v>
      </c>
      <c r="E41" s="15"/>
      <c r="F41" s="15"/>
      <c r="G41" s="40"/>
      <c r="H41" s="40"/>
      <c r="I41" s="40"/>
      <c r="J41" s="57" t="b">
        <v>1</v>
      </c>
      <c r="K41" s="57"/>
      <c r="L41" s="15"/>
      <c r="M41" s="40"/>
      <c r="N41" s="40"/>
      <c r="O41" s="15"/>
      <c r="P41" s="15"/>
      <c r="Q41" s="59"/>
    </row>
    <row r="42" spans="2:17">
      <c r="B42" s="55"/>
      <c r="C42" s="13" t="s">
        <v>43</v>
      </c>
      <c r="D42" s="26">
        <f>D41*D40^1.75</f>
        <v>3.1756005372149834</v>
      </c>
      <c r="E42" s="24"/>
      <c r="F42" s="15"/>
      <c r="G42" s="15"/>
      <c r="H42" s="15"/>
      <c r="I42" s="15"/>
      <c r="J42" s="57"/>
      <c r="K42" s="57"/>
      <c r="L42" s="15"/>
      <c r="M42" s="15"/>
      <c r="N42" s="15"/>
      <c r="O42" s="15"/>
      <c r="P42" s="15"/>
      <c r="Q42" s="25"/>
    </row>
    <row r="43" spans="2:17" ht="15.75" thickBot="1">
      <c r="B43" s="45"/>
      <c r="C43" s="60" t="s">
        <v>44</v>
      </c>
      <c r="D43" s="61">
        <v>0</v>
      </c>
      <c r="E43" s="20"/>
      <c r="F43" s="20"/>
      <c r="G43" s="20"/>
      <c r="H43" s="20"/>
      <c r="I43" s="20"/>
      <c r="J43" s="20"/>
      <c r="K43" s="20"/>
      <c r="L43" s="20"/>
      <c r="M43" s="20"/>
      <c r="N43" s="20"/>
      <c r="O43" s="20"/>
      <c r="P43" s="20"/>
      <c r="Q43" s="22"/>
    </row>
    <row r="44" spans="2:17">
      <c r="B44" s="50" t="s">
        <v>48</v>
      </c>
      <c r="C44" s="51" t="s">
        <v>39</v>
      </c>
      <c r="D44" s="52">
        <v>300</v>
      </c>
      <c r="E44" s="24" t="s">
        <v>3</v>
      </c>
      <c r="F44" s="8"/>
      <c r="G44" s="53">
        <v>0.5</v>
      </c>
      <c r="H44" s="53" t="s">
        <v>7</v>
      </c>
      <c r="I44" s="8"/>
      <c r="J44" s="53">
        <v>0.625</v>
      </c>
      <c r="K44" s="53" t="s">
        <v>7</v>
      </c>
      <c r="L44" s="8"/>
      <c r="M44" s="53">
        <v>0.75</v>
      </c>
      <c r="N44" s="53" t="s">
        <v>7</v>
      </c>
      <c r="O44" s="8"/>
      <c r="P44" s="53">
        <v>1</v>
      </c>
      <c r="Q44" s="54" t="s">
        <v>7</v>
      </c>
    </row>
    <row r="45" spans="2:17">
      <c r="B45" s="55"/>
      <c r="C45" s="13" t="s">
        <v>40</v>
      </c>
      <c r="D45" s="26">
        <f>(8.01*Density*SpecificHeat)*D46*DeltaTemp</f>
        <v>2006.5597082582176</v>
      </c>
      <c r="E45" s="15" t="s">
        <v>18</v>
      </c>
      <c r="F45" s="15"/>
      <c r="G45" s="56">
        <f>(0.408/(G44*G44))*D46</f>
        <v>1.3194648535928162</v>
      </c>
      <c r="H45" s="15" t="s">
        <v>9</v>
      </c>
      <c r="I45" s="15"/>
      <c r="J45" s="56">
        <f>(0.408/(J44*J44))*D46</f>
        <v>0.84445750629940231</v>
      </c>
      <c r="K45" s="15" t="s">
        <v>9</v>
      </c>
      <c r="L45" s="15"/>
      <c r="M45" s="56">
        <f>(0.408/(M44*M44))*D46</f>
        <v>0.58642882381902939</v>
      </c>
      <c r="N45" s="15" t="s">
        <v>9</v>
      </c>
      <c r="O45" s="15"/>
      <c r="P45" s="56">
        <f>(0.408/(P44*P44))*D46</f>
        <v>0.32986621339820404</v>
      </c>
      <c r="Q45" s="25" t="s">
        <v>9</v>
      </c>
    </row>
    <row r="46" spans="2:17">
      <c r="B46" s="55"/>
      <c r="C46" s="13" t="s">
        <v>41</v>
      </c>
      <c r="D46" s="31">
        <f>IF(J47,(ZoneHead/D47)^0.57,0)</f>
        <v>0.80849562107402961</v>
      </c>
      <c r="E46" s="15" t="s">
        <v>16</v>
      </c>
      <c r="F46" s="15"/>
      <c r="G46" s="15"/>
      <c r="H46" s="15"/>
      <c r="I46" s="15"/>
      <c r="J46" s="15"/>
      <c r="K46" s="15"/>
      <c r="L46" s="15"/>
      <c r="M46" s="15"/>
      <c r="N46" s="15"/>
      <c r="O46" s="15"/>
      <c r="P46" s="15"/>
      <c r="Q46" s="25"/>
    </row>
    <row r="47" spans="2:17">
      <c r="B47" s="55"/>
      <c r="C47" s="13" t="s">
        <v>42</v>
      </c>
      <c r="D47" s="31">
        <f>IF(J47,(Alpha*FiveEightsc*D44)+D49,0)</f>
        <v>4.6067001043982971</v>
      </c>
      <c r="E47" s="15"/>
      <c r="F47" s="15"/>
      <c r="G47" s="40"/>
      <c r="H47" s="40"/>
      <c r="I47" s="40"/>
      <c r="J47" s="57" t="b">
        <v>1</v>
      </c>
      <c r="K47" s="57"/>
      <c r="L47" s="15"/>
      <c r="M47" s="40"/>
      <c r="N47" s="40"/>
      <c r="O47" s="15"/>
      <c r="P47" s="15"/>
      <c r="Q47" s="59"/>
    </row>
    <row r="48" spans="2:17">
      <c r="B48" s="55"/>
      <c r="C48" s="13" t="s">
        <v>43</v>
      </c>
      <c r="D48" s="26">
        <f>D47*D46^1.75</f>
        <v>3.1756005372149834</v>
      </c>
      <c r="E48" s="24"/>
      <c r="F48" s="15"/>
      <c r="G48" s="15"/>
      <c r="H48" s="15"/>
      <c r="I48" s="15"/>
      <c r="J48" s="57"/>
      <c r="K48" s="57"/>
      <c r="L48" s="15"/>
      <c r="M48" s="15"/>
      <c r="N48" s="15"/>
      <c r="O48" s="15"/>
      <c r="P48" s="15"/>
      <c r="Q48" s="25"/>
    </row>
    <row r="49" spans="2:17" ht="15.75" thickBot="1">
      <c r="B49" s="45"/>
      <c r="C49" s="60" t="s">
        <v>44</v>
      </c>
      <c r="D49" s="61">
        <v>0</v>
      </c>
      <c r="E49" s="20"/>
      <c r="F49" s="20"/>
      <c r="G49" s="20"/>
      <c r="H49" s="20"/>
      <c r="I49" s="20"/>
      <c r="J49" s="20"/>
      <c r="K49" s="20"/>
      <c r="L49" s="20"/>
      <c r="M49" s="20"/>
      <c r="N49" s="20"/>
      <c r="O49" s="20"/>
      <c r="P49" s="20"/>
      <c r="Q49" s="22"/>
    </row>
    <row r="50" spans="2:17">
      <c r="B50" s="50" t="s">
        <v>49</v>
      </c>
      <c r="C50" s="51" t="s">
        <v>39</v>
      </c>
      <c r="D50" s="52">
        <v>300</v>
      </c>
      <c r="E50" s="24" t="s">
        <v>3</v>
      </c>
      <c r="F50" s="8"/>
      <c r="G50" s="53">
        <v>0.5</v>
      </c>
      <c r="H50" s="53" t="s">
        <v>7</v>
      </c>
      <c r="I50" s="8"/>
      <c r="J50" s="53">
        <v>0.625</v>
      </c>
      <c r="K50" s="53" t="s">
        <v>7</v>
      </c>
      <c r="L50" s="8"/>
      <c r="M50" s="53">
        <v>0.75</v>
      </c>
      <c r="N50" s="53" t="s">
        <v>7</v>
      </c>
      <c r="O50" s="8"/>
      <c r="P50" s="53">
        <v>1</v>
      </c>
      <c r="Q50" s="54" t="s">
        <v>7</v>
      </c>
    </row>
    <row r="51" spans="2:17">
      <c r="B51" s="55"/>
      <c r="C51" s="13" t="s">
        <v>40</v>
      </c>
      <c r="D51" s="26">
        <f>(8.01*Density*SpecificHeat)*D52*DeltaTemp</f>
        <v>2006.5597082582176</v>
      </c>
      <c r="E51" s="15" t="s">
        <v>18</v>
      </c>
      <c r="F51" s="15"/>
      <c r="G51" s="56">
        <f>(0.408/(G50*G50))*D52</f>
        <v>1.3194648535928162</v>
      </c>
      <c r="H51" s="15" t="s">
        <v>9</v>
      </c>
      <c r="I51" s="15"/>
      <c r="J51" s="56">
        <f>(0.408/(J50*J50))*D52</f>
        <v>0.84445750629940231</v>
      </c>
      <c r="K51" s="15" t="s">
        <v>9</v>
      </c>
      <c r="L51" s="15"/>
      <c r="M51" s="56">
        <f>(0.408/(M50*M50))*D52</f>
        <v>0.58642882381902939</v>
      </c>
      <c r="N51" s="15" t="s">
        <v>9</v>
      </c>
      <c r="O51" s="15"/>
      <c r="P51" s="56">
        <f>(0.408/(P50*P50))*D52</f>
        <v>0.32986621339820404</v>
      </c>
      <c r="Q51" s="25" t="s">
        <v>9</v>
      </c>
    </row>
    <row r="52" spans="2:17">
      <c r="B52" s="55"/>
      <c r="C52" s="13" t="s">
        <v>41</v>
      </c>
      <c r="D52" s="31">
        <f>IF(J53,(ZoneHead/D53)^0.57,0)</f>
        <v>0.80849562107402961</v>
      </c>
      <c r="E52" s="15" t="s">
        <v>16</v>
      </c>
      <c r="F52" s="15"/>
      <c r="G52" s="15"/>
      <c r="H52" s="15"/>
      <c r="I52" s="15"/>
      <c r="J52" s="15"/>
      <c r="K52" s="15"/>
      <c r="L52" s="15"/>
      <c r="M52" s="15"/>
      <c r="N52" s="15"/>
      <c r="O52" s="15"/>
      <c r="P52" s="15"/>
      <c r="Q52" s="25"/>
    </row>
    <row r="53" spans="2:17">
      <c r="B53" s="55"/>
      <c r="C53" s="13" t="s">
        <v>42</v>
      </c>
      <c r="D53" s="31">
        <f>IF(J53,(Alpha*FiveEightsc*D50)+D55,0)</f>
        <v>4.6067001043982971</v>
      </c>
      <c r="E53" s="15"/>
      <c r="F53" s="15"/>
      <c r="G53" s="40"/>
      <c r="H53" s="40"/>
      <c r="I53" s="40"/>
      <c r="J53" s="57" t="b">
        <v>1</v>
      </c>
      <c r="K53" s="57"/>
      <c r="L53" s="15"/>
      <c r="M53" s="40"/>
      <c r="N53" s="40"/>
      <c r="O53" s="15"/>
      <c r="P53" s="15"/>
      <c r="Q53" s="59"/>
    </row>
    <row r="54" spans="2:17">
      <c r="B54" s="55"/>
      <c r="C54" s="13" t="s">
        <v>43</v>
      </c>
      <c r="D54" s="26">
        <f>D53*D52^1.75</f>
        <v>3.1756005372149834</v>
      </c>
      <c r="E54" s="24"/>
      <c r="F54" s="15"/>
      <c r="G54" s="15"/>
      <c r="H54" s="15"/>
      <c r="I54" s="15"/>
      <c r="J54" s="57"/>
      <c r="K54" s="57"/>
      <c r="L54" s="15"/>
      <c r="M54" s="15"/>
      <c r="N54" s="15"/>
      <c r="O54" s="15"/>
      <c r="P54" s="15"/>
      <c r="Q54" s="25"/>
    </row>
    <row r="55" spans="2:17" ht="15.75" thickBot="1">
      <c r="B55" s="45"/>
      <c r="C55" s="60" t="s">
        <v>44</v>
      </c>
      <c r="D55" s="61">
        <v>0</v>
      </c>
      <c r="E55" s="20"/>
      <c r="F55" s="20"/>
      <c r="G55" s="20"/>
      <c r="H55" s="20"/>
      <c r="I55" s="20"/>
      <c r="J55" s="20"/>
      <c r="K55" s="20"/>
      <c r="L55" s="20"/>
      <c r="M55" s="20"/>
      <c r="N55" s="20"/>
      <c r="O55" s="20"/>
      <c r="P55" s="20"/>
      <c r="Q55" s="22"/>
    </row>
    <row r="56" spans="2:17">
      <c r="B56" s="50" t="s">
        <v>50</v>
      </c>
      <c r="C56" s="51" t="s">
        <v>39</v>
      </c>
      <c r="D56" s="52">
        <v>300</v>
      </c>
      <c r="E56" s="24" t="s">
        <v>3</v>
      </c>
      <c r="F56" s="8"/>
      <c r="G56" s="53">
        <v>0.5</v>
      </c>
      <c r="H56" s="53" t="s">
        <v>7</v>
      </c>
      <c r="I56" s="8"/>
      <c r="J56" s="53">
        <v>0.625</v>
      </c>
      <c r="K56" s="53" t="s">
        <v>7</v>
      </c>
      <c r="L56" s="8"/>
      <c r="M56" s="53">
        <v>0.75</v>
      </c>
      <c r="N56" s="53" t="s">
        <v>7</v>
      </c>
      <c r="O56" s="8"/>
      <c r="P56" s="53">
        <v>1</v>
      </c>
      <c r="Q56" s="54" t="s">
        <v>7</v>
      </c>
    </row>
    <row r="57" spans="2:17">
      <c r="B57" s="55"/>
      <c r="C57" s="13" t="s">
        <v>40</v>
      </c>
      <c r="D57" s="26">
        <f>(8.01*Density*SpecificHeat)*D58*DeltaTemp</f>
        <v>2006.5597082582176</v>
      </c>
      <c r="E57" s="15" t="s">
        <v>18</v>
      </c>
      <c r="F57" s="15"/>
      <c r="G57" s="56">
        <f>(0.408/(G56*G56))*D58</f>
        <v>1.3194648535928162</v>
      </c>
      <c r="H57" s="15" t="s">
        <v>9</v>
      </c>
      <c r="I57" s="15"/>
      <c r="J57" s="56">
        <f>(0.408/(J56*J56))*D58</f>
        <v>0.84445750629940231</v>
      </c>
      <c r="K57" s="15" t="s">
        <v>9</v>
      </c>
      <c r="L57" s="15"/>
      <c r="M57" s="56">
        <f>(0.408/(M56*M56))*D58</f>
        <v>0.58642882381902939</v>
      </c>
      <c r="N57" s="15" t="s">
        <v>9</v>
      </c>
      <c r="O57" s="15"/>
      <c r="P57" s="56">
        <f>(0.408/(P56*P56))*D58</f>
        <v>0.32986621339820404</v>
      </c>
      <c r="Q57" s="25" t="s">
        <v>9</v>
      </c>
    </row>
    <row r="58" spans="2:17">
      <c r="B58" s="55"/>
      <c r="C58" s="13" t="s">
        <v>41</v>
      </c>
      <c r="D58" s="31">
        <f>IF(J59,(ZoneHead/D59)^0.57,0)</f>
        <v>0.80849562107402961</v>
      </c>
      <c r="E58" s="15" t="s">
        <v>16</v>
      </c>
      <c r="F58" s="15"/>
      <c r="G58" s="15"/>
      <c r="H58" s="15"/>
      <c r="I58" s="15"/>
      <c r="J58" s="15"/>
      <c r="K58" s="15"/>
      <c r="L58" s="15"/>
      <c r="M58" s="15"/>
      <c r="N58" s="15"/>
      <c r="O58" s="15"/>
      <c r="P58" s="15"/>
      <c r="Q58" s="25"/>
    </row>
    <row r="59" spans="2:17">
      <c r="B59" s="55"/>
      <c r="C59" s="13" t="s">
        <v>42</v>
      </c>
      <c r="D59" s="31">
        <f>IF(J59,(Alpha*FiveEightsc*D56)+D61,0)</f>
        <v>4.6067001043982971</v>
      </c>
      <c r="E59" s="15"/>
      <c r="F59" s="15"/>
      <c r="G59" s="40"/>
      <c r="H59" s="40"/>
      <c r="I59" s="40"/>
      <c r="J59" s="57" t="b">
        <v>1</v>
      </c>
      <c r="K59" s="57"/>
      <c r="L59" s="15"/>
      <c r="M59" s="40"/>
      <c r="N59" s="40"/>
      <c r="O59" s="15"/>
      <c r="P59" s="15"/>
      <c r="Q59" s="59"/>
    </row>
    <row r="60" spans="2:17">
      <c r="B60" s="55"/>
      <c r="C60" s="13" t="s">
        <v>43</v>
      </c>
      <c r="D60" s="26">
        <f>D59*D58^1.75</f>
        <v>3.1756005372149834</v>
      </c>
      <c r="E60" s="24"/>
      <c r="F60" s="15"/>
      <c r="G60" s="15"/>
      <c r="H60" s="15"/>
      <c r="I60" s="15"/>
      <c r="J60" s="57"/>
      <c r="K60" s="57"/>
      <c r="L60" s="15"/>
      <c r="M60" s="15"/>
      <c r="N60" s="15"/>
      <c r="O60" s="15"/>
      <c r="P60" s="15"/>
      <c r="Q60" s="25"/>
    </row>
    <row r="61" spans="2:17" ht="15.75" thickBot="1">
      <c r="B61" s="45"/>
      <c r="C61" s="60" t="s">
        <v>44</v>
      </c>
      <c r="D61" s="61">
        <v>0</v>
      </c>
      <c r="E61" s="20"/>
      <c r="F61" s="20"/>
      <c r="G61" s="20"/>
      <c r="H61" s="20"/>
      <c r="I61" s="20"/>
      <c r="J61" s="20"/>
      <c r="K61" s="20"/>
      <c r="L61" s="20"/>
      <c r="M61" s="20"/>
      <c r="N61" s="20"/>
      <c r="O61" s="20"/>
      <c r="P61" s="20"/>
      <c r="Q61" s="22"/>
    </row>
    <row r="62" spans="2:17">
      <c r="B62" s="50" t="s">
        <v>51</v>
      </c>
      <c r="C62" s="51" t="s">
        <v>39</v>
      </c>
      <c r="D62" s="52">
        <v>300</v>
      </c>
      <c r="E62" s="24" t="s">
        <v>3</v>
      </c>
      <c r="F62" s="8"/>
      <c r="G62" s="53">
        <v>0.5</v>
      </c>
      <c r="H62" s="53" t="s">
        <v>7</v>
      </c>
      <c r="I62" s="8"/>
      <c r="J62" s="53">
        <v>0.625</v>
      </c>
      <c r="K62" s="53" t="s">
        <v>7</v>
      </c>
      <c r="L62" s="8"/>
      <c r="M62" s="53">
        <v>0.75</v>
      </c>
      <c r="N62" s="53" t="s">
        <v>7</v>
      </c>
      <c r="O62" s="8"/>
      <c r="P62" s="53">
        <v>1</v>
      </c>
      <c r="Q62" s="54" t="s">
        <v>7</v>
      </c>
    </row>
    <row r="63" spans="2:17">
      <c r="B63" s="55"/>
      <c r="C63" s="13" t="s">
        <v>40</v>
      </c>
      <c r="D63" s="26">
        <f>(8.01*Density*SpecificHeat)*D64*DeltaTemp</f>
        <v>2006.5597082582176</v>
      </c>
      <c r="E63" s="15" t="s">
        <v>18</v>
      </c>
      <c r="F63" s="15"/>
      <c r="G63" s="56">
        <f>(0.408/(G62*G62))*D64</f>
        <v>1.3194648535928162</v>
      </c>
      <c r="H63" s="15" t="s">
        <v>9</v>
      </c>
      <c r="I63" s="15"/>
      <c r="J63" s="56">
        <f>(0.408/(J62*J62))*D64</f>
        <v>0.84445750629940231</v>
      </c>
      <c r="K63" s="15" t="s">
        <v>9</v>
      </c>
      <c r="L63" s="15"/>
      <c r="M63" s="56">
        <f>(0.408/(M62*M62))*D64</f>
        <v>0.58642882381902939</v>
      </c>
      <c r="N63" s="15" t="s">
        <v>9</v>
      </c>
      <c r="O63" s="15"/>
      <c r="P63" s="56">
        <f>(0.408/(P62*P62))*D64</f>
        <v>0.32986621339820404</v>
      </c>
      <c r="Q63" s="25" t="s">
        <v>9</v>
      </c>
    </row>
    <row r="64" spans="2:17">
      <c r="B64" s="55"/>
      <c r="C64" s="13" t="s">
        <v>41</v>
      </c>
      <c r="D64" s="31">
        <f>IF(J65,(ZoneHead/D65)^0.57,0)</f>
        <v>0.80849562107402961</v>
      </c>
      <c r="E64" s="15" t="s">
        <v>16</v>
      </c>
      <c r="F64" s="15"/>
      <c r="G64" s="15"/>
      <c r="H64" s="15"/>
      <c r="I64" s="15"/>
      <c r="J64" s="15"/>
      <c r="K64" s="15"/>
      <c r="L64" s="15"/>
      <c r="M64" s="15"/>
      <c r="N64" s="15"/>
      <c r="O64" s="15"/>
      <c r="P64" s="15"/>
      <c r="Q64" s="25"/>
    </row>
    <row r="65" spans="2:17">
      <c r="B65" s="55"/>
      <c r="C65" s="13" t="s">
        <v>42</v>
      </c>
      <c r="D65" s="31">
        <f>IF(J65,(Alpha*FiveEightsc*D62)+D67,0)</f>
        <v>4.6067001043982971</v>
      </c>
      <c r="E65" s="15"/>
      <c r="F65" s="15"/>
      <c r="G65" s="40"/>
      <c r="H65" s="40"/>
      <c r="I65" s="40"/>
      <c r="J65" s="57" t="b">
        <v>1</v>
      </c>
      <c r="K65" s="57"/>
      <c r="L65" s="15"/>
      <c r="M65" s="40"/>
      <c r="N65" s="40"/>
      <c r="O65" s="15"/>
      <c r="P65" s="15"/>
      <c r="Q65" s="59"/>
    </row>
    <row r="66" spans="2:17">
      <c r="B66" s="55"/>
      <c r="C66" s="13" t="s">
        <v>43</v>
      </c>
      <c r="D66" s="26">
        <f>D65*D64^1.75</f>
        <v>3.1756005372149834</v>
      </c>
      <c r="E66" s="24"/>
      <c r="F66" s="15"/>
      <c r="G66" s="15"/>
      <c r="H66" s="15"/>
      <c r="I66" s="15"/>
      <c r="J66" s="57"/>
      <c r="K66" s="57"/>
      <c r="L66" s="15"/>
      <c r="M66" s="15"/>
      <c r="N66" s="15"/>
      <c r="O66" s="15"/>
      <c r="P66" s="15"/>
      <c r="Q66" s="25"/>
    </row>
    <row r="67" spans="2:17" ht="15.75" thickBot="1">
      <c r="B67" s="45"/>
      <c r="C67" s="60" t="s">
        <v>44</v>
      </c>
      <c r="D67" s="61">
        <v>0</v>
      </c>
      <c r="E67" s="20"/>
      <c r="F67" s="20"/>
      <c r="G67" s="20"/>
      <c r="H67" s="20"/>
      <c r="I67" s="20"/>
      <c r="J67" s="20"/>
      <c r="K67" s="20"/>
      <c r="L67" s="20"/>
      <c r="M67" s="20"/>
      <c r="N67" s="20"/>
      <c r="O67" s="20"/>
      <c r="P67" s="20"/>
      <c r="Q67" s="22"/>
    </row>
    <row r="68" spans="2:17">
      <c r="B68" s="50" t="s">
        <v>52</v>
      </c>
      <c r="C68" s="51" t="s">
        <v>39</v>
      </c>
      <c r="D68" s="52">
        <v>300</v>
      </c>
      <c r="E68" s="24" t="s">
        <v>3</v>
      </c>
      <c r="F68" s="8"/>
      <c r="G68" s="53">
        <v>0.5</v>
      </c>
      <c r="H68" s="53" t="s">
        <v>7</v>
      </c>
      <c r="I68" s="8"/>
      <c r="J68" s="53">
        <v>0.625</v>
      </c>
      <c r="K68" s="53" t="s">
        <v>7</v>
      </c>
      <c r="L68" s="8"/>
      <c r="M68" s="53">
        <v>0.75</v>
      </c>
      <c r="N68" s="53" t="s">
        <v>7</v>
      </c>
      <c r="O68" s="8"/>
      <c r="P68" s="53">
        <v>1</v>
      </c>
      <c r="Q68" s="54" t="s">
        <v>7</v>
      </c>
    </row>
    <row r="69" spans="2:17">
      <c r="B69" s="55"/>
      <c r="C69" s="13" t="s">
        <v>40</v>
      </c>
      <c r="D69" s="26">
        <f>(8.01*Density*SpecificHeat)*D70*DeltaTemp</f>
        <v>2006.5597082582176</v>
      </c>
      <c r="E69" s="15" t="s">
        <v>18</v>
      </c>
      <c r="F69" s="15"/>
      <c r="G69" s="56">
        <f>(0.408/(G68*G68))*D70</f>
        <v>1.3194648535928162</v>
      </c>
      <c r="H69" s="15" t="s">
        <v>9</v>
      </c>
      <c r="I69" s="15"/>
      <c r="J69" s="56">
        <f>(0.408/(J68*J68))*D70</f>
        <v>0.84445750629940231</v>
      </c>
      <c r="K69" s="15" t="s">
        <v>9</v>
      </c>
      <c r="L69" s="15"/>
      <c r="M69" s="56">
        <f>(0.408/(M68*M68))*D70</f>
        <v>0.58642882381902939</v>
      </c>
      <c r="N69" s="15" t="s">
        <v>9</v>
      </c>
      <c r="O69" s="15"/>
      <c r="P69" s="56">
        <f>(0.408/(P68*P68))*D70</f>
        <v>0.32986621339820404</v>
      </c>
      <c r="Q69" s="25" t="s">
        <v>9</v>
      </c>
    </row>
    <row r="70" spans="2:17">
      <c r="B70" s="55"/>
      <c r="C70" s="13" t="s">
        <v>41</v>
      </c>
      <c r="D70" s="31">
        <f>IF(J71,(ZoneHead/D71)^0.57,0)</f>
        <v>0.80849562107402961</v>
      </c>
      <c r="E70" s="15" t="s">
        <v>16</v>
      </c>
      <c r="F70" s="15"/>
      <c r="G70" s="15"/>
      <c r="H70" s="15"/>
      <c r="I70" s="15"/>
      <c r="J70" s="15"/>
      <c r="K70" s="15"/>
      <c r="L70" s="15"/>
      <c r="M70" s="15"/>
      <c r="N70" s="15"/>
      <c r="O70" s="15"/>
      <c r="P70" s="15"/>
      <c r="Q70" s="25"/>
    </row>
    <row r="71" spans="2:17">
      <c r="B71" s="55"/>
      <c r="C71" s="13" t="s">
        <v>42</v>
      </c>
      <c r="D71" s="31">
        <f>IF(J71,(Alpha*FiveEightsc*D68)+D73,0)</f>
        <v>4.6067001043982971</v>
      </c>
      <c r="E71" s="15"/>
      <c r="F71" s="15"/>
      <c r="G71" s="40"/>
      <c r="H71" s="40"/>
      <c r="I71" s="40"/>
      <c r="J71" s="57" t="b">
        <v>1</v>
      </c>
      <c r="K71" s="57"/>
      <c r="L71" s="15"/>
      <c r="M71" s="40"/>
      <c r="N71" s="40"/>
      <c r="O71" s="15"/>
      <c r="P71" s="15"/>
      <c r="Q71" s="59"/>
    </row>
    <row r="72" spans="2:17">
      <c r="B72" s="55"/>
      <c r="C72" s="13" t="s">
        <v>43</v>
      </c>
      <c r="D72" s="26">
        <f>D71*D70^1.75</f>
        <v>3.1756005372149834</v>
      </c>
      <c r="E72" s="24"/>
      <c r="F72" s="15"/>
      <c r="G72" s="15"/>
      <c r="H72" s="15"/>
      <c r="I72" s="15"/>
      <c r="J72" s="57"/>
      <c r="K72" s="57"/>
      <c r="L72" s="15"/>
      <c r="M72" s="15"/>
      <c r="N72" s="15"/>
      <c r="O72" s="15"/>
      <c r="P72" s="15"/>
      <c r="Q72" s="25"/>
    </row>
    <row r="73" spans="2:17" ht="15.75" thickBot="1">
      <c r="B73" s="45"/>
      <c r="C73" s="60" t="s">
        <v>44</v>
      </c>
      <c r="D73" s="61">
        <v>0</v>
      </c>
      <c r="E73" s="20"/>
      <c r="F73" s="20"/>
      <c r="G73" s="20"/>
      <c r="H73" s="20"/>
      <c r="I73" s="20"/>
      <c r="J73" s="20"/>
      <c r="K73" s="20"/>
      <c r="L73" s="20"/>
      <c r="M73" s="20"/>
      <c r="N73" s="20"/>
      <c r="O73" s="20"/>
      <c r="P73" s="20"/>
      <c r="Q73" s="22"/>
    </row>
    <row r="74" spans="2:17">
      <c r="B74" s="50" t="s">
        <v>53</v>
      </c>
      <c r="C74" s="51" t="s">
        <v>39</v>
      </c>
      <c r="D74" s="52">
        <v>300</v>
      </c>
      <c r="E74" s="24" t="s">
        <v>3</v>
      </c>
      <c r="F74" s="8"/>
      <c r="G74" s="53">
        <v>0.5</v>
      </c>
      <c r="H74" s="53" t="s">
        <v>7</v>
      </c>
      <c r="I74" s="8"/>
      <c r="J74" s="53">
        <v>0.625</v>
      </c>
      <c r="K74" s="53" t="s">
        <v>7</v>
      </c>
      <c r="L74" s="8"/>
      <c r="M74" s="53">
        <v>0.75</v>
      </c>
      <c r="N74" s="53" t="s">
        <v>7</v>
      </c>
      <c r="O74" s="8"/>
      <c r="P74" s="53">
        <v>1</v>
      </c>
      <c r="Q74" s="54" t="s">
        <v>7</v>
      </c>
    </row>
    <row r="75" spans="2:17">
      <c r="B75" s="55"/>
      <c r="C75" s="13" t="s">
        <v>40</v>
      </c>
      <c r="D75" s="26">
        <f>(8.01*Density*SpecificHeat)*D76*DeltaTemp</f>
        <v>2006.5597082582176</v>
      </c>
      <c r="E75" s="15" t="s">
        <v>18</v>
      </c>
      <c r="F75" s="15"/>
      <c r="G75" s="56">
        <f>(0.408/(G74*G74))*D76</f>
        <v>1.3194648535928162</v>
      </c>
      <c r="H75" s="15" t="s">
        <v>9</v>
      </c>
      <c r="I75" s="15"/>
      <c r="J75" s="56">
        <f>(0.408/(J74*J74))*D76</f>
        <v>0.84445750629940231</v>
      </c>
      <c r="K75" s="15" t="s">
        <v>9</v>
      </c>
      <c r="L75" s="15"/>
      <c r="M75" s="56">
        <f>(0.408/(M74*M74))*D76</f>
        <v>0.58642882381902939</v>
      </c>
      <c r="N75" s="15" t="s">
        <v>9</v>
      </c>
      <c r="O75" s="15"/>
      <c r="P75" s="56">
        <f>(0.408/(P74*P74))*D76</f>
        <v>0.32986621339820404</v>
      </c>
      <c r="Q75" s="25" t="s">
        <v>9</v>
      </c>
    </row>
    <row r="76" spans="2:17">
      <c r="B76" s="55"/>
      <c r="C76" s="13" t="s">
        <v>41</v>
      </c>
      <c r="D76" s="31">
        <f>IF(J77,(ZoneHead/D77)^0.57,0)</f>
        <v>0.80849562107402961</v>
      </c>
      <c r="E76" s="15" t="s">
        <v>16</v>
      </c>
      <c r="F76" s="15"/>
      <c r="G76" s="15"/>
      <c r="H76" s="15"/>
      <c r="I76" s="15"/>
      <c r="J76" s="15"/>
      <c r="K76" s="15"/>
      <c r="L76" s="15"/>
      <c r="M76" s="15"/>
      <c r="N76" s="15"/>
      <c r="O76" s="15"/>
      <c r="P76" s="15"/>
      <c r="Q76" s="25"/>
    </row>
    <row r="77" spans="2:17">
      <c r="B77" s="55"/>
      <c r="C77" s="13" t="s">
        <v>42</v>
      </c>
      <c r="D77" s="31">
        <f>IF(J77,(Alpha*FiveEightsc*D74)+D79,0)</f>
        <v>4.6067001043982971</v>
      </c>
      <c r="E77" s="15"/>
      <c r="F77" s="15"/>
      <c r="G77" s="40"/>
      <c r="H77" s="40"/>
      <c r="I77" s="40"/>
      <c r="J77" s="57" t="b">
        <v>1</v>
      </c>
      <c r="K77" s="57"/>
      <c r="L77" s="15"/>
      <c r="M77" s="40"/>
      <c r="N77" s="40"/>
      <c r="O77" s="15"/>
      <c r="P77" s="15"/>
      <c r="Q77" s="59"/>
    </row>
    <row r="78" spans="2:17">
      <c r="B78" s="55"/>
      <c r="C78" s="13" t="s">
        <v>43</v>
      </c>
      <c r="D78" s="26">
        <f>D77*D76^1.75</f>
        <v>3.1756005372149834</v>
      </c>
      <c r="E78" s="24"/>
      <c r="F78" s="15"/>
      <c r="G78" s="15"/>
      <c r="H78" s="15"/>
      <c r="I78" s="15"/>
      <c r="J78" s="57"/>
      <c r="K78" s="57"/>
      <c r="L78" s="15"/>
      <c r="M78" s="15"/>
      <c r="N78" s="15"/>
      <c r="O78" s="15"/>
      <c r="P78" s="15"/>
      <c r="Q78" s="25"/>
    </row>
    <row r="79" spans="2:17" ht="15.75" thickBot="1">
      <c r="B79" s="45"/>
      <c r="C79" s="60" t="s">
        <v>44</v>
      </c>
      <c r="D79" s="61">
        <v>0</v>
      </c>
      <c r="E79" s="20"/>
      <c r="F79" s="20"/>
      <c r="G79" s="20"/>
      <c r="H79" s="20"/>
      <c r="I79" s="20"/>
      <c r="J79" s="20"/>
      <c r="K79" s="20"/>
      <c r="L79" s="20"/>
      <c r="M79" s="20"/>
      <c r="N79" s="20"/>
      <c r="O79" s="20"/>
      <c r="P79" s="20"/>
      <c r="Q79" s="22"/>
    </row>
    <row r="80" spans="2:17">
      <c r="B80" s="50" t="s">
        <v>54</v>
      </c>
      <c r="C80" s="51" t="s">
        <v>39</v>
      </c>
      <c r="D80" s="52">
        <v>300</v>
      </c>
      <c r="E80" s="24" t="s">
        <v>3</v>
      </c>
      <c r="F80" s="8"/>
      <c r="G80" s="53">
        <v>0.5</v>
      </c>
      <c r="H80" s="53" t="s">
        <v>7</v>
      </c>
      <c r="I80" s="8"/>
      <c r="J80" s="53">
        <v>0.625</v>
      </c>
      <c r="K80" s="53" t="s">
        <v>7</v>
      </c>
      <c r="L80" s="8"/>
      <c r="M80" s="53">
        <v>0.75</v>
      </c>
      <c r="N80" s="53" t="s">
        <v>7</v>
      </c>
      <c r="O80" s="8"/>
      <c r="P80" s="53">
        <v>1</v>
      </c>
      <c r="Q80" s="54" t="s">
        <v>7</v>
      </c>
    </row>
    <row r="81" spans="2:17">
      <c r="B81" s="55"/>
      <c r="C81" s="13" t="s">
        <v>40</v>
      </c>
      <c r="D81" s="26">
        <f>(8.01*Density*SpecificHeat)*D82*DeltaTemp</f>
        <v>2006.5597082582176</v>
      </c>
      <c r="E81" s="15" t="s">
        <v>18</v>
      </c>
      <c r="F81" s="15"/>
      <c r="G81" s="56">
        <f>(0.408/(G80*G80))*D82</f>
        <v>1.3194648535928162</v>
      </c>
      <c r="H81" s="15" t="s">
        <v>9</v>
      </c>
      <c r="I81" s="15"/>
      <c r="J81" s="56">
        <f>(0.408/(J80*J80))*D82</f>
        <v>0.84445750629940231</v>
      </c>
      <c r="K81" s="15" t="s">
        <v>9</v>
      </c>
      <c r="L81" s="15"/>
      <c r="M81" s="56">
        <f>(0.408/(M80*M80))*D82</f>
        <v>0.58642882381902939</v>
      </c>
      <c r="N81" s="15" t="s">
        <v>9</v>
      </c>
      <c r="O81" s="15"/>
      <c r="P81" s="56">
        <f>(0.408/(P80*P80))*D82</f>
        <v>0.32986621339820404</v>
      </c>
      <c r="Q81" s="25" t="s">
        <v>9</v>
      </c>
    </row>
    <row r="82" spans="2:17">
      <c r="B82" s="55"/>
      <c r="C82" s="13" t="s">
        <v>41</v>
      </c>
      <c r="D82" s="31">
        <f>IF(J83,(ZoneHead/D83)^0.57,0)</f>
        <v>0.80849562107402961</v>
      </c>
      <c r="E82" s="15" t="s">
        <v>16</v>
      </c>
      <c r="F82" s="15"/>
      <c r="G82" s="15"/>
      <c r="H82" s="15"/>
      <c r="I82" s="15"/>
      <c r="J82" s="15"/>
      <c r="K82" s="15"/>
      <c r="L82" s="15"/>
      <c r="M82" s="15"/>
      <c r="N82" s="15"/>
      <c r="O82" s="15"/>
      <c r="P82" s="15"/>
      <c r="Q82" s="25"/>
    </row>
    <row r="83" spans="2:17">
      <c r="B83" s="55"/>
      <c r="C83" s="13" t="s">
        <v>42</v>
      </c>
      <c r="D83" s="31">
        <f>IF(J83,(Alpha*FiveEightsc*D80)+D85,0)</f>
        <v>4.6067001043982971</v>
      </c>
      <c r="E83" s="15"/>
      <c r="F83" s="15"/>
      <c r="G83" s="40"/>
      <c r="H83" s="40"/>
      <c r="I83" s="40"/>
      <c r="J83" s="57" t="b">
        <v>1</v>
      </c>
      <c r="K83" s="57"/>
      <c r="L83" s="15"/>
      <c r="M83" s="40"/>
      <c r="N83" s="40"/>
      <c r="O83" s="15"/>
      <c r="P83" s="15"/>
      <c r="Q83" s="59"/>
    </row>
    <row r="84" spans="2:17">
      <c r="B84" s="55"/>
      <c r="C84" s="13" t="s">
        <v>43</v>
      </c>
      <c r="D84" s="26">
        <f>D83*D82^1.75</f>
        <v>3.1756005372149834</v>
      </c>
      <c r="E84" s="24"/>
      <c r="F84" s="15"/>
      <c r="G84" s="15"/>
      <c r="H84" s="15"/>
      <c r="I84" s="15"/>
      <c r="J84" s="57"/>
      <c r="K84" s="57"/>
      <c r="L84" s="15"/>
      <c r="M84" s="15"/>
      <c r="N84" s="15"/>
      <c r="O84" s="15"/>
      <c r="P84" s="15"/>
      <c r="Q84" s="25"/>
    </row>
    <row r="85" spans="2:17" ht="15.75" thickBot="1">
      <c r="B85" s="45"/>
      <c r="C85" s="60" t="s">
        <v>44</v>
      </c>
      <c r="D85" s="61">
        <v>0</v>
      </c>
      <c r="E85" s="20"/>
      <c r="F85" s="20"/>
      <c r="G85" s="20"/>
      <c r="H85" s="20"/>
      <c r="I85" s="20"/>
      <c r="J85" s="20"/>
      <c r="K85" s="20"/>
      <c r="L85" s="20"/>
      <c r="M85" s="20"/>
      <c r="N85" s="20"/>
      <c r="O85" s="20"/>
      <c r="P85" s="20"/>
      <c r="Q85" s="22"/>
    </row>
    <row r="86" spans="2:17">
      <c r="B86" s="50" t="s">
        <v>55</v>
      </c>
      <c r="C86" s="51" t="s">
        <v>39</v>
      </c>
      <c r="D86" s="52">
        <v>300</v>
      </c>
      <c r="E86" s="24" t="s">
        <v>3</v>
      </c>
      <c r="F86" s="8"/>
      <c r="G86" s="53">
        <v>0.5</v>
      </c>
      <c r="H86" s="53" t="s">
        <v>7</v>
      </c>
      <c r="I86" s="8"/>
      <c r="J86" s="53">
        <v>0.625</v>
      </c>
      <c r="K86" s="53" t="s">
        <v>7</v>
      </c>
      <c r="L86" s="8"/>
      <c r="M86" s="53">
        <v>0.75</v>
      </c>
      <c r="N86" s="53" t="s">
        <v>7</v>
      </c>
      <c r="O86" s="8"/>
      <c r="P86" s="53">
        <v>1</v>
      </c>
      <c r="Q86" s="54" t="s">
        <v>7</v>
      </c>
    </row>
    <row r="87" spans="2:17">
      <c r="B87" s="55"/>
      <c r="C87" s="13" t="s">
        <v>40</v>
      </c>
      <c r="D87" s="26">
        <f>(8.01*Density*SpecificHeat)*D88*DeltaTemp</f>
        <v>2006.5597082582176</v>
      </c>
      <c r="E87" s="15" t="s">
        <v>18</v>
      </c>
      <c r="F87" s="15"/>
      <c r="G87" s="56">
        <f>(0.408/(G86*G86))*D88</f>
        <v>1.3194648535928162</v>
      </c>
      <c r="H87" s="15" t="s">
        <v>9</v>
      </c>
      <c r="I87" s="15"/>
      <c r="J87" s="56">
        <f>(0.408/(J86*J86))*D88</f>
        <v>0.84445750629940231</v>
      </c>
      <c r="K87" s="15" t="s">
        <v>9</v>
      </c>
      <c r="L87" s="15"/>
      <c r="M87" s="56">
        <f>(0.408/(M86*M86))*D88</f>
        <v>0.58642882381902939</v>
      </c>
      <c r="N87" s="15" t="s">
        <v>9</v>
      </c>
      <c r="O87" s="15"/>
      <c r="P87" s="56">
        <f>(0.408/(P86*P86))*D88</f>
        <v>0.32986621339820404</v>
      </c>
      <c r="Q87" s="25" t="s">
        <v>9</v>
      </c>
    </row>
    <row r="88" spans="2:17">
      <c r="B88" s="55"/>
      <c r="C88" s="13" t="s">
        <v>41</v>
      </c>
      <c r="D88" s="31">
        <f>IF(J89,(ZoneHead/D89)^0.57,0)</f>
        <v>0.80849562107402961</v>
      </c>
      <c r="E88" s="15" t="s">
        <v>16</v>
      </c>
      <c r="F88" s="15"/>
      <c r="G88" s="15"/>
      <c r="H88" s="15"/>
      <c r="I88" s="15"/>
      <c r="J88" s="15"/>
      <c r="K88" s="15"/>
      <c r="L88" s="15"/>
      <c r="M88" s="15"/>
      <c r="N88" s="15"/>
      <c r="O88" s="15"/>
      <c r="P88" s="15"/>
      <c r="Q88" s="25"/>
    </row>
    <row r="89" spans="2:17">
      <c r="B89" s="55"/>
      <c r="C89" s="13" t="s">
        <v>42</v>
      </c>
      <c r="D89" s="31">
        <f>IF(J89,(Alpha*FiveEightsc*D86)+D91,0)</f>
        <v>4.6067001043982971</v>
      </c>
      <c r="E89" s="15"/>
      <c r="F89" s="15"/>
      <c r="G89" s="40"/>
      <c r="H89" s="40"/>
      <c r="I89" s="40"/>
      <c r="J89" s="57" t="b">
        <v>1</v>
      </c>
      <c r="K89" s="57"/>
      <c r="L89" s="15"/>
      <c r="M89" s="40"/>
      <c r="N89" s="40"/>
      <c r="O89" s="15"/>
      <c r="P89" s="15"/>
      <c r="Q89" s="59"/>
    </row>
    <row r="90" spans="2:17">
      <c r="B90" s="55"/>
      <c r="C90" s="13" t="s">
        <v>43</v>
      </c>
      <c r="D90" s="26">
        <f>D89*D88^1.75</f>
        <v>3.1756005372149834</v>
      </c>
      <c r="E90" s="24"/>
      <c r="F90" s="15"/>
      <c r="G90" s="15"/>
      <c r="H90" s="15"/>
      <c r="I90" s="15"/>
      <c r="J90" s="57"/>
      <c r="K90" s="57"/>
      <c r="L90" s="15"/>
      <c r="M90" s="15"/>
      <c r="N90" s="15"/>
      <c r="O90" s="15"/>
      <c r="P90" s="15"/>
      <c r="Q90" s="25"/>
    </row>
    <row r="91" spans="2:17" ht="15.75" thickBot="1">
      <c r="B91" s="45"/>
      <c r="C91" s="60" t="s">
        <v>44</v>
      </c>
      <c r="D91" s="61">
        <v>0</v>
      </c>
      <c r="E91" s="20"/>
      <c r="F91" s="20"/>
      <c r="G91" s="20"/>
      <c r="H91" s="20"/>
      <c r="I91" s="20"/>
      <c r="J91" s="20"/>
      <c r="K91" s="20"/>
      <c r="L91" s="20"/>
      <c r="M91" s="20"/>
      <c r="N91" s="20"/>
      <c r="O91" s="20"/>
      <c r="P91" s="20"/>
      <c r="Q91" s="22"/>
    </row>
  </sheetData>
  <mergeCells count="37">
    <mergeCell ref="B86:B91"/>
    <mergeCell ref="J89:K90"/>
    <mergeCell ref="B68:B73"/>
    <mergeCell ref="J71:K72"/>
    <mergeCell ref="B74:B79"/>
    <mergeCell ref="J77:K78"/>
    <mergeCell ref="B80:B85"/>
    <mergeCell ref="J83:K84"/>
    <mergeCell ref="B50:B55"/>
    <mergeCell ref="J53:K54"/>
    <mergeCell ref="B56:B61"/>
    <mergeCell ref="J59:K60"/>
    <mergeCell ref="B62:B67"/>
    <mergeCell ref="J65:K66"/>
    <mergeCell ref="B32:B37"/>
    <mergeCell ref="J35:K36"/>
    <mergeCell ref="B38:B43"/>
    <mergeCell ref="J41:K42"/>
    <mergeCell ref="B44:B49"/>
    <mergeCell ref="J47:K48"/>
    <mergeCell ref="G17:J17"/>
    <mergeCell ref="K17:M17"/>
    <mergeCell ref="B19:Q19"/>
    <mergeCell ref="B20:B25"/>
    <mergeCell ref="J23:K24"/>
    <mergeCell ref="B26:B31"/>
    <mergeCell ref="J29:K30"/>
    <mergeCell ref="B2:Q2"/>
    <mergeCell ref="B3:B18"/>
    <mergeCell ref="G3:Q3"/>
    <mergeCell ref="G7:Q7"/>
    <mergeCell ref="G10:Q10"/>
    <mergeCell ref="G14:Q14"/>
    <mergeCell ref="G15:J15"/>
    <mergeCell ref="K15:M15"/>
    <mergeCell ref="G16:J16"/>
    <mergeCell ref="K16:M16"/>
  </mergeCells>
  <conditionalFormatting sqref="G21 J21 M21 P21 G27 J27 M27 P27 G33 J33 M33 P33 G39 J39 M39 P39 G45 J45 M45 P45 G51 J51 M51 P51 G57 J57 M57 P57 G63 J63 M63 P63 G69 J69 M69 P69 G75 J75 M75 P75 G81 J81 M81 P81 G87 J87 M87 P87 G5 J5 M5 P5">
    <cfRule type="cellIs" dxfId="29" priority="5" operator="lessThan">
      <formula>4</formula>
    </cfRule>
    <cfRule type="cellIs" dxfId="28" priority="6" operator="greaterThan">
      <formula>4</formula>
    </cfRule>
  </conditionalFormatting>
  <conditionalFormatting sqref="M23">
    <cfRule type="containsText" dxfId="25" priority="3" operator="containsText" text="N">
      <formula>NOT(ISERROR(SEARCH("N",M23)))</formula>
    </cfRule>
    <cfRule type="containsText" dxfId="24" priority="4" operator="containsText" text="Y">
      <formula>NOT(ISERROR(SEARCH("Y",M23)))</formula>
    </cfRule>
  </conditionalFormatting>
  <conditionalFormatting sqref="J23:K24 J29:K30 J35:K36 J41:K42 J47:K48 J53:K54 J59:K60 J71:K72 J77:K78 J83:K84 J89:K90 J65:K66">
    <cfRule type="containsText" dxfId="21" priority="1" operator="containsText" text="true">
      <formula>NOT(ISERROR(SEARCH("true",J23)))</formula>
    </cfRule>
    <cfRule type="containsText" dxfId="20" priority="2" operator="containsText" text="false">
      <formula>NOT(ISERROR(SEARCH("false",J23)))</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B1:Q91"/>
  <sheetViews>
    <sheetView workbookViewId="0"/>
  </sheetViews>
  <sheetFormatPr defaultRowHeight="15"/>
  <cols>
    <col min="1" max="1" width="6.5703125" customWidth="1"/>
    <col min="3" max="3" width="52.5703125" bestFit="1" customWidth="1"/>
    <col min="5" max="5" width="12.140625" bestFit="1" customWidth="1"/>
    <col min="6" max="6" width="2.7109375" customWidth="1"/>
    <col min="7" max="8" width="5.85546875" customWidth="1"/>
    <col min="9" max="9" width="1.42578125" customWidth="1"/>
    <col min="10" max="11" width="5.85546875" customWidth="1"/>
    <col min="12" max="12" width="1.42578125" customWidth="1"/>
    <col min="13" max="14" width="5.85546875" customWidth="1"/>
    <col min="15" max="15" width="1.42578125" customWidth="1"/>
    <col min="16" max="17" width="5.85546875" customWidth="1"/>
  </cols>
  <sheetData>
    <row r="1" spans="2:17" ht="15.75" thickBot="1"/>
    <row r="2" spans="2:17" ht="19.5" thickBot="1">
      <c r="B2" s="1" t="s">
        <v>56</v>
      </c>
      <c r="C2" s="2"/>
      <c r="D2" s="2"/>
      <c r="E2" s="2"/>
      <c r="F2" s="2"/>
      <c r="G2" s="2"/>
      <c r="H2" s="2"/>
      <c r="I2" s="2"/>
      <c r="J2" s="2"/>
      <c r="K2" s="2"/>
      <c r="L2" s="2"/>
      <c r="M2" s="2"/>
      <c r="N2" s="2"/>
      <c r="O2" s="2"/>
      <c r="P2" s="2"/>
      <c r="Q2" s="3"/>
    </row>
    <row r="3" spans="2:17">
      <c r="B3" s="4" t="s">
        <v>1</v>
      </c>
      <c r="C3" s="5" t="s">
        <v>2</v>
      </c>
      <c r="D3" s="6">
        <v>50</v>
      </c>
      <c r="E3" s="7" t="s">
        <v>3</v>
      </c>
      <c r="F3" s="8"/>
      <c r="G3" s="9" t="s">
        <v>4</v>
      </c>
      <c r="H3" s="10"/>
      <c r="I3" s="10"/>
      <c r="J3" s="10"/>
      <c r="K3" s="10"/>
      <c r="L3" s="10"/>
      <c r="M3" s="10"/>
      <c r="N3" s="10"/>
      <c r="O3" s="10"/>
      <c r="P3" s="10"/>
      <c r="Q3" s="11"/>
    </row>
    <row r="4" spans="2:17">
      <c r="B4" s="12"/>
      <c r="C4" s="13" t="s">
        <v>5</v>
      </c>
      <c r="D4" s="14">
        <v>5</v>
      </c>
      <c r="E4" s="15" t="s">
        <v>6</v>
      </c>
      <c r="F4" s="15"/>
      <c r="G4" s="16">
        <v>0.5</v>
      </c>
      <c r="H4" s="17" t="s">
        <v>7</v>
      </c>
      <c r="I4" s="15"/>
      <c r="J4" s="17">
        <v>0.625</v>
      </c>
      <c r="K4" s="17" t="s">
        <v>7</v>
      </c>
      <c r="L4" s="15"/>
      <c r="M4" s="17">
        <v>0.75</v>
      </c>
      <c r="N4" s="17" t="s">
        <v>7</v>
      </c>
      <c r="O4" s="15"/>
      <c r="P4" s="17">
        <v>1</v>
      </c>
      <c r="Q4" s="18" t="s">
        <v>7</v>
      </c>
    </row>
    <row r="5" spans="2:17" ht="15.75" thickBot="1">
      <c r="B5" s="12"/>
      <c r="C5" s="13" t="s">
        <v>8</v>
      </c>
      <c r="D5" s="14">
        <v>100</v>
      </c>
      <c r="E5" s="15" t="s">
        <v>6</v>
      </c>
      <c r="F5" s="15"/>
      <c r="G5" s="19">
        <f>(0.408/(G4*G4))*SystemFlow2</f>
        <v>8.2102115649482688</v>
      </c>
      <c r="H5" s="20" t="s">
        <v>9</v>
      </c>
      <c r="I5" s="20"/>
      <c r="J5" s="21">
        <f>(0.408/(J4*J4))*SystemFlow2</f>
        <v>5.2545354015668924</v>
      </c>
      <c r="K5" s="20" t="s">
        <v>9</v>
      </c>
      <c r="L5" s="20"/>
      <c r="M5" s="21">
        <f>(0.408/(M4*M4))*SystemFlow2</f>
        <v>3.6489829177547866</v>
      </c>
      <c r="N5" s="20" t="s">
        <v>9</v>
      </c>
      <c r="O5" s="20"/>
      <c r="P5" s="21">
        <f>(0.408/(P4*P4))*SystemFlow2</f>
        <v>2.0525528912370672</v>
      </c>
      <c r="Q5" s="22" t="s">
        <v>9</v>
      </c>
    </row>
    <row r="6" spans="2:17" ht="15.75" thickBot="1">
      <c r="B6" s="12"/>
      <c r="C6" s="23" t="s">
        <v>10</v>
      </c>
      <c r="D6" s="14">
        <v>100</v>
      </c>
      <c r="E6" s="24" t="s">
        <v>11</v>
      </c>
      <c r="F6" s="15"/>
      <c r="G6" s="15"/>
      <c r="H6" s="15"/>
      <c r="I6" s="15"/>
      <c r="J6" s="15"/>
      <c r="K6" s="15"/>
      <c r="L6" s="15"/>
      <c r="M6" s="15"/>
      <c r="N6" s="15"/>
      <c r="O6" s="15"/>
      <c r="P6" s="15"/>
      <c r="Q6" s="25"/>
    </row>
    <row r="7" spans="2:17">
      <c r="B7" s="12"/>
      <c r="C7" s="23" t="s">
        <v>12</v>
      </c>
      <c r="D7" s="14">
        <v>9</v>
      </c>
      <c r="E7" s="24" t="s">
        <v>3</v>
      </c>
      <c r="F7" s="15"/>
      <c r="G7" s="9" t="s">
        <v>13</v>
      </c>
      <c r="H7" s="10"/>
      <c r="I7" s="10"/>
      <c r="J7" s="10"/>
      <c r="K7" s="10"/>
      <c r="L7" s="10"/>
      <c r="M7" s="10"/>
      <c r="N7" s="10"/>
      <c r="O7" s="10"/>
      <c r="P7" s="10"/>
      <c r="Q7" s="11"/>
    </row>
    <row r="8" spans="2:17" ht="15.75" thickBot="1">
      <c r="B8" s="12"/>
      <c r="C8" s="23" t="s">
        <v>14</v>
      </c>
      <c r="D8" s="26">
        <f>CirculatorHead2-IF(HeaderResistance2&gt;0,(HeaderResistance2*SystemFlow2^1.75),0)</f>
        <v>2.7468552655882545</v>
      </c>
      <c r="E8" s="24"/>
      <c r="F8" s="15"/>
      <c r="G8" s="27">
        <f>Alpha2*0.786*1*SystemFlow2^1.75</f>
        <v>0.69210332482540771</v>
      </c>
      <c r="H8" s="28" t="s">
        <v>3</v>
      </c>
      <c r="I8" s="20"/>
      <c r="J8" s="28">
        <f>Alpha2*0.2947*1*SystemFlow2^1.75</f>
        <v>0.25949471988046774</v>
      </c>
      <c r="K8" s="28" t="s">
        <v>3</v>
      </c>
      <c r="L8" s="20"/>
      <c r="M8" s="28">
        <f>Alpha2*0.14203*1*SystemFlow2^1.75</f>
        <v>0.12506289468823489</v>
      </c>
      <c r="N8" s="28" t="s">
        <v>3</v>
      </c>
      <c r="O8" s="20"/>
      <c r="P8" s="20">
        <f>Alpha2*0.04318*1*SystemFlow2^1.75</f>
        <v>3.802165593633728E-2</v>
      </c>
      <c r="Q8" s="29" t="s">
        <v>3</v>
      </c>
    </row>
    <row r="9" spans="2:17" ht="15.75" thickBot="1">
      <c r="B9" s="12"/>
      <c r="C9" s="13" t="s">
        <v>15</v>
      </c>
      <c r="D9" s="26">
        <f>IF(ZoneResistance2&gt;0,(CirculatorHead2/(ZoneResistance2+HeaderResistance2))^0.57,0)</f>
        <v>5.0307668902869302</v>
      </c>
      <c r="E9" s="15" t="s">
        <v>16</v>
      </c>
      <c r="F9" s="15"/>
      <c r="G9" s="15"/>
      <c r="H9" s="15"/>
      <c r="I9" s="15"/>
      <c r="J9" s="15"/>
      <c r="K9" s="15"/>
      <c r="L9" s="15"/>
      <c r="M9" s="15"/>
      <c r="N9" s="15"/>
      <c r="O9" s="15"/>
      <c r="P9" s="15"/>
      <c r="Q9" s="25"/>
    </row>
    <row r="10" spans="2:17">
      <c r="B10" s="12"/>
      <c r="C10" s="30" t="s">
        <v>17</v>
      </c>
      <c r="D10" s="26">
        <f>IF(J23,D21,0)+IF(J29,D27,0)+IF(J35,D33,0)+IF(J41,D39,0)+IF(J47,D45,0)+IF(J53,D51,0)+IF(J59,D57,0)+IF(J65,D63,0)+IF(J71,D69,0)+IF(J77,D75,0)+IF(J83,D81,0)+IF(J89,D87,0)</f>
        <v>12679.893739137113</v>
      </c>
      <c r="E10" s="15" t="s">
        <v>18</v>
      </c>
      <c r="F10" s="15"/>
      <c r="G10" s="9" t="s">
        <v>19</v>
      </c>
      <c r="H10" s="10"/>
      <c r="I10" s="10"/>
      <c r="J10" s="10"/>
      <c r="K10" s="10"/>
      <c r="L10" s="10"/>
      <c r="M10" s="10"/>
      <c r="N10" s="10"/>
      <c r="O10" s="10"/>
      <c r="P10" s="10"/>
      <c r="Q10" s="11"/>
    </row>
    <row r="11" spans="2:17">
      <c r="B11" s="12"/>
      <c r="C11" s="23" t="s">
        <v>20</v>
      </c>
      <c r="D11" s="31">
        <f>100-D6</f>
        <v>0</v>
      </c>
      <c r="E11" s="24" t="s">
        <v>11</v>
      </c>
      <c r="F11" s="15"/>
      <c r="G11" s="16">
        <v>0.5</v>
      </c>
      <c r="H11" s="17" t="s">
        <v>7</v>
      </c>
      <c r="I11" s="15"/>
      <c r="J11" s="17">
        <v>0.625</v>
      </c>
      <c r="K11" s="17" t="s">
        <v>7</v>
      </c>
      <c r="L11" s="15"/>
      <c r="M11" s="17">
        <v>0.75</v>
      </c>
      <c r="N11" s="17" t="s">
        <v>7</v>
      </c>
      <c r="O11" s="15"/>
      <c r="P11" s="17">
        <v>1</v>
      </c>
      <c r="Q11" s="18" t="s">
        <v>7</v>
      </c>
    </row>
    <row r="12" spans="2:17" ht="15.75" thickBot="1">
      <c r="B12" s="12"/>
      <c r="C12" s="23" t="s">
        <v>21</v>
      </c>
      <c r="D12" s="31">
        <f>((D6*1) + (D11*0.75))/100</f>
        <v>1</v>
      </c>
      <c r="E12" s="24" t="s">
        <v>22</v>
      </c>
      <c r="F12" s="15"/>
      <c r="G12" s="32">
        <v>0.78600000000000003</v>
      </c>
      <c r="H12" s="33" t="s">
        <v>23</v>
      </c>
      <c r="I12" s="20"/>
      <c r="J12" s="20">
        <v>0.29470000000000002</v>
      </c>
      <c r="K12" s="33" t="s">
        <v>23</v>
      </c>
      <c r="L12" s="20"/>
      <c r="M12" s="20">
        <v>0.14202999999999999</v>
      </c>
      <c r="N12" s="33" t="s">
        <v>23</v>
      </c>
      <c r="O12" s="20"/>
      <c r="P12" s="20">
        <v>4.3180000000000003E-2</v>
      </c>
      <c r="Q12" s="22" t="s">
        <v>23</v>
      </c>
    </row>
    <row r="13" spans="2:17" ht="15.75" thickBot="1">
      <c r="B13" s="12"/>
      <c r="C13" s="23" t="s">
        <v>24</v>
      </c>
      <c r="D13" s="31">
        <f>62.56+3.413*10^-4*TempIn2-6.255*10^-5*(TempIn2*TempIn2)</f>
        <v>61.968629999999997</v>
      </c>
      <c r="E13" s="15" t="s">
        <v>25</v>
      </c>
      <c r="F13" s="15"/>
      <c r="G13" s="34"/>
      <c r="H13" s="34"/>
      <c r="I13" s="34"/>
      <c r="J13" s="34"/>
      <c r="K13" s="34"/>
      <c r="L13" s="34"/>
      <c r="M13" s="34"/>
      <c r="N13" s="34"/>
      <c r="O13" s="34"/>
      <c r="P13" s="34"/>
      <c r="Q13" s="35"/>
    </row>
    <row r="14" spans="2:17">
      <c r="B14" s="12"/>
      <c r="C14" s="13" t="s">
        <v>26</v>
      </c>
      <c r="D14" s="31">
        <f>0.001834-2.73*10^-5*D5+1.92*10^-7*TempIn2^2-6.53*10^-10*TempIn2^3+8.58*10^-13*TempIn2^4</f>
        <v>4.5679999999999929E-4</v>
      </c>
      <c r="E14" s="15" t="s">
        <v>27</v>
      </c>
      <c r="F14" s="15"/>
      <c r="G14" s="9" t="s">
        <v>28</v>
      </c>
      <c r="H14" s="10"/>
      <c r="I14" s="10"/>
      <c r="J14" s="10"/>
      <c r="K14" s="10"/>
      <c r="L14" s="10"/>
      <c r="M14" s="10"/>
      <c r="N14" s="10"/>
      <c r="O14" s="10"/>
      <c r="P14" s="10"/>
      <c r="Q14" s="11"/>
    </row>
    <row r="15" spans="2:17">
      <c r="B15" s="12"/>
      <c r="C15" s="36" t="s">
        <v>29</v>
      </c>
      <c r="D15" s="31">
        <f>(Density2/DynamicViscosity2)^-0.25</f>
        <v>5.2106097776250387E-2</v>
      </c>
      <c r="E15" s="15"/>
      <c r="F15" s="15"/>
      <c r="G15" s="37" t="s">
        <v>30</v>
      </c>
      <c r="H15" s="38"/>
      <c r="I15" s="38"/>
      <c r="J15" s="38"/>
      <c r="K15" s="39">
        <v>5</v>
      </c>
      <c r="L15" s="39"/>
      <c r="M15" s="39"/>
      <c r="N15" s="40" t="s">
        <v>6</v>
      </c>
      <c r="O15" s="15"/>
      <c r="P15" s="15"/>
      <c r="Q15" s="25"/>
    </row>
    <row r="16" spans="2:17">
      <c r="B16" s="12"/>
      <c r="C16" s="13" t="s">
        <v>31</v>
      </c>
      <c r="D16" s="31">
        <f>IF(AND(NOT(J23),NOT(J29),NOT(J35),NOT(J41),NOT(J47),NOT(J53),NOT(J59),NOT(J65),NOT(J71),NOT(J77),NOT(J83),NOT(J89)),0,(IF(J23,((1/D23)^0.5714),0)+IF(J29,((1/D29)^0.5714),0)+IF(J35,((1/D35)^0.5714),0)+IF(J41,((1/D41)^0.5714),0)+IF(J47,((1/D47)^0.5714),0)+IF(J53,((1/D53)^0.5714),0)+IF(J59,((1/D59)^0.5714),0)+IF(J65,((1/D65)^0.5714),0)+IF(J71,((1/D71)^0.5714),0)+IF(J77,((1/D77)^0.5714),0)+IF(J83,((1/D83)^0.5714),0)+IF(J89,((1/D89)^0.5714),0))^-1.75)</f>
        <v>0.15878544797891114</v>
      </c>
      <c r="E16" s="15"/>
      <c r="F16" s="15"/>
      <c r="G16" s="37" t="s">
        <v>32</v>
      </c>
      <c r="H16" s="38"/>
      <c r="I16" s="38"/>
      <c r="J16" s="38"/>
      <c r="K16" s="39">
        <v>24000</v>
      </c>
      <c r="L16" s="39"/>
      <c r="M16" s="39"/>
      <c r="N16" s="41" t="s">
        <v>33</v>
      </c>
      <c r="O16" s="15"/>
      <c r="P16" s="15"/>
      <c r="Q16" s="25"/>
    </row>
    <row r="17" spans="2:17" ht="15.75" thickBot="1">
      <c r="B17" s="12"/>
      <c r="C17" s="13" t="s">
        <v>34</v>
      </c>
      <c r="D17" s="31">
        <f>Alpha2*ThreeQuartersc*ManifoldDistance2</f>
        <v>0.37003145335804211</v>
      </c>
      <c r="E17" s="15"/>
      <c r="F17" s="15"/>
      <c r="G17" s="42" t="s">
        <v>35</v>
      </c>
      <c r="H17" s="43"/>
      <c r="I17" s="43"/>
      <c r="J17" s="43"/>
      <c r="K17" s="44">
        <f>K16/((8.01*Density2*SpecificHeat2)*K15)</f>
        <v>9.6702305074291299</v>
      </c>
      <c r="L17" s="44"/>
      <c r="M17" s="44"/>
      <c r="N17" s="33" t="s">
        <v>16</v>
      </c>
      <c r="O17" s="20"/>
      <c r="P17" s="20"/>
      <c r="Q17" s="22"/>
    </row>
    <row r="18" spans="2:17" ht="15.75" thickBot="1">
      <c r="B18" s="45"/>
      <c r="C18" s="46"/>
      <c r="D18" s="20"/>
      <c r="E18" s="20"/>
      <c r="F18" s="20"/>
      <c r="G18" s="20"/>
      <c r="H18" s="20"/>
      <c r="I18" s="20"/>
      <c r="J18" s="20"/>
      <c r="K18" s="20" t="s">
        <v>36</v>
      </c>
      <c r="L18" s="20"/>
      <c r="M18" s="20"/>
      <c r="N18" s="20"/>
      <c r="O18" s="20"/>
      <c r="P18" s="20"/>
      <c r="Q18" s="22"/>
    </row>
    <row r="19" spans="2:17" ht="19.5" thickBot="1">
      <c r="B19" s="47" t="s">
        <v>57</v>
      </c>
      <c r="C19" s="48"/>
      <c r="D19" s="48"/>
      <c r="E19" s="48"/>
      <c r="F19" s="48"/>
      <c r="G19" s="48"/>
      <c r="H19" s="48"/>
      <c r="I19" s="48"/>
      <c r="J19" s="48"/>
      <c r="K19" s="48"/>
      <c r="L19" s="48"/>
      <c r="M19" s="48"/>
      <c r="N19" s="48"/>
      <c r="O19" s="48"/>
      <c r="P19" s="48"/>
      <c r="Q19" s="49"/>
    </row>
    <row r="20" spans="2:17">
      <c r="B20" s="50" t="s">
        <v>38</v>
      </c>
      <c r="C20" s="51" t="s">
        <v>39</v>
      </c>
      <c r="D20" s="52">
        <v>300</v>
      </c>
      <c r="E20" s="7" t="s">
        <v>3</v>
      </c>
      <c r="F20" s="8"/>
      <c r="G20" s="53">
        <v>0.5</v>
      </c>
      <c r="H20" s="53" t="s">
        <v>7</v>
      </c>
      <c r="I20" s="8"/>
      <c r="J20" s="53">
        <v>0.625</v>
      </c>
      <c r="K20" s="53" t="s">
        <v>7</v>
      </c>
      <c r="L20" s="8"/>
      <c r="M20" s="53">
        <v>0.75</v>
      </c>
      <c r="N20" s="53" t="s">
        <v>7</v>
      </c>
      <c r="O20" s="8"/>
      <c r="P20" s="53">
        <v>1</v>
      </c>
      <c r="Q20" s="54" t="s">
        <v>7</v>
      </c>
    </row>
    <row r="21" spans="2:17">
      <c r="B21" s="55"/>
      <c r="C21" s="13" t="s">
        <v>40</v>
      </c>
      <c r="D21" s="26">
        <f>(8.01*Density2*SpecificHeat2)*D22*DeltaTemp2</f>
        <v>1056.6578115947593</v>
      </c>
      <c r="E21" s="15" t="s">
        <v>18</v>
      </c>
      <c r="F21" s="15"/>
      <c r="G21" s="56">
        <f>(0.408/(G20*G20))*D22</f>
        <v>0.69483247318059216</v>
      </c>
      <c r="H21" s="15" t="s">
        <v>9</v>
      </c>
      <c r="I21" s="15"/>
      <c r="J21" s="56">
        <f>(0.408/(J20*J20))*D22</f>
        <v>0.44469278283557895</v>
      </c>
      <c r="K21" s="15" t="s">
        <v>9</v>
      </c>
      <c r="L21" s="15"/>
      <c r="M21" s="56">
        <f>(0.408/(M20*M20))*D22</f>
        <v>0.30881443252470758</v>
      </c>
      <c r="N21" s="15" t="s">
        <v>9</v>
      </c>
      <c r="O21" s="15"/>
      <c r="P21" s="56">
        <f>(0.408/(P20*P20))*D22</f>
        <v>0.17370811829514804</v>
      </c>
      <c r="Q21" s="25" t="s">
        <v>9</v>
      </c>
    </row>
    <row r="22" spans="2:17">
      <c r="B22" s="55"/>
      <c r="C22" s="13" t="s">
        <v>41</v>
      </c>
      <c r="D22" s="31">
        <f>IF(J23,(ZoneHead2/D23)^0.57,0)</f>
        <v>0.42575519189987265</v>
      </c>
      <c r="E22" s="15" t="s">
        <v>16</v>
      </c>
      <c r="F22" s="15"/>
      <c r="G22" s="15"/>
      <c r="H22" s="15"/>
      <c r="I22" s="15"/>
      <c r="J22" s="15"/>
      <c r="K22" s="15"/>
      <c r="L22" s="15"/>
      <c r="M22" s="15"/>
      <c r="N22" s="15"/>
      <c r="O22" s="15"/>
      <c r="P22" s="15"/>
      <c r="Q22" s="25"/>
    </row>
    <row r="23" spans="2:17">
      <c r="B23" s="55"/>
      <c r="C23" s="13" t="s">
        <v>42</v>
      </c>
      <c r="D23" s="31">
        <f>IF(J23,(Alpha2*Halfc*D20)+D25,0)</f>
        <v>12.286617855639843</v>
      </c>
      <c r="E23" s="15"/>
      <c r="F23" s="15"/>
      <c r="G23" s="40"/>
      <c r="H23" s="40"/>
      <c r="I23" s="40"/>
      <c r="J23" s="57" t="b">
        <v>1</v>
      </c>
      <c r="K23" s="57"/>
      <c r="L23" s="40"/>
      <c r="M23" s="58"/>
      <c r="N23" s="40"/>
      <c r="O23" s="15"/>
      <c r="P23" s="15"/>
      <c r="Q23" s="59"/>
    </row>
    <row r="24" spans="2:17">
      <c r="B24" s="55"/>
      <c r="C24" s="13" t="s">
        <v>43</v>
      </c>
      <c r="D24" s="26">
        <f>D23*D22^1.75</f>
        <v>2.7571618970161462</v>
      </c>
      <c r="E24" s="24" t="s">
        <v>3</v>
      </c>
      <c r="F24" s="15"/>
      <c r="G24" s="15"/>
      <c r="H24" s="15"/>
      <c r="I24" s="15"/>
      <c r="J24" s="57"/>
      <c r="K24" s="57"/>
      <c r="L24" s="15"/>
      <c r="M24" s="15"/>
      <c r="N24" s="15"/>
      <c r="O24" s="15"/>
      <c r="P24" s="15"/>
      <c r="Q24" s="25"/>
    </row>
    <row r="25" spans="2:17" ht="15.75" thickBot="1">
      <c r="B25" s="45"/>
      <c r="C25" s="60" t="s">
        <v>44</v>
      </c>
      <c r="D25" s="61">
        <v>0</v>
      </c>
      <c r="E25" s="20"/>
      <c r="F25" s="20"/>
      <c r="G25" s="20"/>
      <c r="H25" s="20"/>
      <c r="I25" s="20"/>
      <c r="J25" s="20"/>
      <c r="K25" s="20"/>
      <c r="L25" s="20"/>
      <c r="M25" s="20"/>
      <c r="N25" s="20"/>
      <c r="O25" s="20"/>
      <c r="P25" s="20"/>
      <c r="Q25" s="22"/>
    </row>
    <row r="26" spans="2:17">
      <c r="B26" s="55" t="s">
        <v>45</v>
      </c>
      <c r="C26" s="51" t="s">
        <v>39</v>
      </c>
      <c r="D26" s="52">
        <v>300</v>
      </c>
      <c r="E26" s="7" t="s">
        <v>3</v>
      </c>
      <c r="F26" s="15"/>
      <c r="G26" s="17">
        <v>0.5</v>
      </c>
      <c r="H26" s="17" t="s">
        <v>7</v>
      </c>
      <c r="I26" s="15"/>
      <c r="J26" s="17">
        <v>0.625</v>
      </c>
      <c r="K26" s="17" t="s">
        <v>7</v>
      </c>
      <c r="L26" s="15"/>
      <c r="M26" s="17">
        <v>0.75</v>
      </c>
      <c r="N26" s="17" t="s">
        <v>7</v>
      </c>
      <c r="O26" s="15"/>
      <c r="P26" s="17">
        <v>1</v>
      </c>
      <c r="Q26" s="18" t="s">
        <v>7</v>
      </c>
    </row>
    <row r="27" spans="2:17">
      <c r="B27" s="55"/>
      <c r="C27" s="13" t="s">
        <v>40</v>
      </c>
      <c r="D27" s="26">
        <f>(8.01*Density2*SpecificHeat2)*D28*DeltaTemp2</f>
        <v>1056.6578115947593</v>
      </c>
      <c r="E27" s="15" t="s">
        <v>18</v>
      </c>
      <c r="F27" s="15"/>
      <c r="G27" s="56">
        <f>(0.408/(G26*G26))*D28</f>
        <v>0.69483247318059216</v>
      </c>
      <c r="H27" s="15" t="s">
        <v>9</v>
      </c>
      <c r="I27" s="15"/>
      <c r="J27" s="56">
        <f>(0.408/(J26*J26))*D28</f>
        <v>0.44469278283557895</v>
      </c>
      <c r="K27" s="15" t="s">
        <v>9</v>
      </c>
      <c r="L27" s="15"/>
      <c r="M27" s="56">
        <f>(0.408/(M26*M26))*D28</f>
        <v>0.30881443252470758</v>
      </c>
      <c r="N27" s="15" t="s">
        <v>9</v>
      </c>
      <c r="O27" s="15"/>
      <c r="P27" s="56">
        <f>(0.408/(P26*P26))*D28</f>
        <v>0.17370811829514804</v>
      </c>
      <c r="Q27" s="25" t="s">
        <v>9</v>
      </c>
    </row>
    <row r="28" spans="2:17">
      <c r="B28" s="55"/>
      <c r="C28" s="13" t="s">
        <v>41</v>
      </c>
      <c r="D28" s="31">
        <f>IF(J29,(ZoneHead2/D29)^0.57,0)</f>
        <v>0.42575519189987265</v>
      </c>
      <c r="E28" s="15" t="s">
        <v>16</v>
      </c>
      <c r="F28" s="15"/>
      <c r="G28" s="15"/>
      <c r="H28" s="15"/>
      <c r="I28" s="15"/>
      <c r="J28" s="15"/>
      <c r="K28" s="15"/>
      <c r="L28" s="15"/>
      <c r="M28" s="15"/>
      <c r="N28" s="15"/>
      <c r="O28" s="15"/>
      <c r="P28" s="15"/>
      <c r="Q28" s="25"/>
    </row>
    <row r="29" spans="2:17">
      <c r="B29" s="55"/>
      <c r="C29" s="13" t="s">
        <v>42</v>
      </c>
      <c r="D29" s="31">
        <f>IF(J29,(Alpha2*Halfc*D26)+D31,0)</f>
        <v>12.286617855639843</v>
      </c>
      <c r="E29" s="15"/>
      <c r="F29" s="15"/>
      <c r="G29" s="40"/>
      <c r="H29" s="40"/>
      <c r="I29" s="40"/>
      <c r="J29" s="57" t="b">
        <v>1</v>
      </c>
      <c r="K29" s="57"/>
      <c r="L29" s="15"/>
      <c r="M29" s="40"/>
      <c r="N29" s="40"/>
      <c r="O29" s="15"/>
      <c r="P29" s="15"/>
      <c r="Q29" s="59"/>
    </row>
    <row r="30" spans="2:17">
      <c r="B30" s="55"/>
      <c r="C30" s="13" t="s">
        <v>43</v>
      </c>
      <c r="D30" s="26">
        <f>D29*D28^1.75</f>
        <v>2.7571618970161462</v>
      </c>
      <c r="E30" s="24" t="s">
        <v>3</v>
      </c>
      <c r="F30" s="15"/>
      <c r="G30" s="15"/>
      <c r="H30" s="15"/>
      <c r="I30" s="15"/>
      <c r="J30" s="57"/>
      <c r="K30" s="57"/>
      <c r="L30" s="15"/>
      <c r="M30" s="15"/>
      <c r="N30" s="15"/>
      <c r="O30" s="15"/>
      <c r="P30" s="15"/>
      <c r="Q30" s="25"/>
    </row>
    <row r="31" spans="2:17" ht="15.75" thickBot="1">
      <c r="B31" s="45"/>
      <c r="C31" s="60" t="s">
        <v>44</v>
      </c>
      <c r="D31" s="61">
        <v>0</v>
      </c>
      <c r="E31" s="20"/>
      <c r="F31" s="20"/>
      <c r="G31" s="20"/>
      <c r="H31" s="20"/>
      <c r="I31" s="20"/>
      <c r="J31" s="20"/>
      <c r="K31" s="20"/>
      <c r="L31" s="20"/>
      <c r="M31" s="20"/>
      <c r="N31" s="20"/>
      <c r="O31" s="20"/>
      <c r="P31" s="20"/>
      <c r="Q31" s="22"/>
    </row>
    <row r="32" spans="2:17">
      <c r="B32" s="50" t="s">
        <v>46</v>
      </c>
      <c r="C32" s="51" t="s">
        <v>39</v>
      </c>
      <c r="D32" s="52">
        <v>300</v>
      </c>
      <c r="E32" s="24" t="s">
        <v>3</v>
      </c>
      <c r="F32" s="8"/>
      <c r="G32" s="53">
        <v>0.5</v>
      </c>
      <c r="H32" s="53" t="s">
        <v>7</v>
      </c>
      <c r="I32" s="8"/>
      <c r="J32" s="53">
        <v>0.625</v>
      </c>
      <c r="K32" s="53" t="s">
        <v>7</v>
      </c>
      <c r="L32" s="8"/>
      <c r="M32" s="53">
        <v>0.75</v>
      </c>
      <c r="N32" s="53" t="s">
        <v>7</v>
      </c>
      <c r="O32" s="8"/>
      <c r="P32" s="53">
        <v>1</v>
      </c>
      <c r="Q32" s="54" t="s">
        <v>7</v>
      </c>
    </row>
    <row r="33" spans="2:17">
      <c r="B33" s="55"/>
      <c r="C33" s="13" t="s">
        <v>40</v>
      </c>
      <c r="D33" s="26">
        <f>(8.01*Density2*SpecificHeat2)*D34*DeltaTemp2</f>
        <v>1056.6578115947593</v>
      </c>
      <c r="E33" s="15" t="s">
        <v>18</v>
      </c>
      <c r="F33" s="15"/>
      <c r="G33" s="56">
        <f>(0.408/(G32*G32))*D34</f>
        <v>0.69483247318059216</v>
      </c>
      <c r="H33" s="15" t="s">
        <v>9</v>
      </c>
      <c r="I33" s="15"/>
      <c r="J33" s="56">
        <f>(0.408/(J32*J32))*D34</f>
        <v>0.44469278283557895</v>
      </c>
      <c r="K33" s="15" t="s">
        <v>9</v>
      </c>
      <c r="L33" s="15"/>
      <c r="M33" s="56">
        <f>(0.408/(M32*M32))*D34</f>
        <v>0.30881443252470758</v>
      </c>
      <c r="N33" s="15" t="s">
        <v>9</v>
      </c>
      <c r="O33" s="15"/>
      <c r="P33" s="56">
        <f>(0.408/(P32*P32))*D34</f>
        <v>0.17370811829514804</v>
      </c>
      <c r="Q33" s="25" t="s">
        <v>9</v>
      </c>
    </row>
    <row r="34" spans="2:17">
      <c r="B34" s="55"/>
      <c r="C34" s="13" t="s">
        <v>41</v>
      </c>
      <c r="D34" s="31">
        <f>IF(J35,(ZoneHead2/D35)^0.57,0)</f>
        <v>0.42575519189987265</v>
      </c>
      <c r="E34" s="15" t="s">
        <v>16</v>
      </c>
      <c r="F34" s="15"/>
      <c r="G34" s="15"/>
      <c r="H34" s="15"/>
      <c r="I34" s="15"/>
      <c r="J34" s="15"/>
      <c r="K34" s="15"/>
      <c r="L34" s="15"/>
      <c r="M34" s="15"/>
      <c r="N34" s="15"/>
      <c r="O34" s="15"/>
      <c r="P34" s="15"/>
      <c r="Q34" s="25"/>
    </row>
    <row r="35" spans="2:17">
      <c r="B35" s="55"/>
      <c r="C35" s="13" t="s">
        <v>42</v>
      </c>
      <c r="D35" s="31">
        <f>IF(J35,(Alpha2*Halfc*D32)+D37,0)</f>
        <v>12.286617855639843</v>
      </c>
      <c r="E35" s="15"/>
      <c r="F35" s="15"/>
      <c r="G35" s="40"/>
      <c r="H35" s="40"/>
      <c r="I35" s="40"/>
      <c r="J35" s="57" t="b">
        <v>1</v>
      </c>
      <c r="K35" s="57"/>
      <c r="L35" s="15"/>
      <c r="M35" s="40"/>
      <c r="N35" s="40"/>
      <c r="O35" s="15"/>
      <c r="P35" s="15"/>
      <c r="Q35" s="59"/>
    </row>
    <row r="36" spans="2:17">
      <c r="B36" s="55"/>
      <c r="C36" s="13" t="s">
        <v>43</v>
      </c>
      <c r="D36" s="26">
        <f>D35*D34^1.75</f>
        <v>2.7571618970161462</v>
      </c>
      <c r="E36" s="24"/>
      <c r="F36" s="15"/>
      <c r="G36" s="15"/>
      <c r="H36" s="15"/>
      <c r="I36" s="15"/>
      <c r="J36" s="57"/>
      <c r="K36" s="57"/>
      <c r="L36" s="15"/>
      <c r="M36" s="15"/>
      <c r="N36" s="15"/>
      <c r="O36" s="15"/>
      <c r="P36" s="15"/>
      <c r="Q36" s="25"/>
    </row>
    <row r="37" spans="2:17" ht="15.75" thickBot="1">
      <c r="B37" s="45"/>
      <c r="C37" s="60" t="s">
        <v>44</v>
      </c>
      <c r="D37" s="61">
        <v>0</v>
      </c>
      <c r="E37" s="20"/>
      <c r="F37" s="20"/>
      <c r="G37" s="20"/>
      <c r="H37" s="20"/>
      <c r="I37" s="20"/>
      <c r="J37" s="20"/>
      <c r="K37" s="20"/>
      <c r="L37" s="20"/>
      <c r="M37" s="20"/>
      <c r="N37" s="20"/>
      <c r="O37" s="20"/>
      <c r="P37" s="20"/>
      <c r="Q37" s="22"/>
    </row>
    <row r="38" spans="2:17">
      <c r="B38" s="50" t="s">
        <v>47</v>
      </c>
      <c r="C38" s="51" t="s">
        <v>39</v>
      </c>
      <c r="D38" s="52">
        <v>300</v>
      </c>
      <c r="E38" s="24" t="s">
        <v>3</v>
      </c>
      <c r="F38" s="8"/>
      <c r="G38" s="53">
        <v>0.5</v>
      </c>
      <c r="H38" s="53" t="s">
        <v>7</v>
      </c>
      <c r="I38" s="8"/>
      <c r="J38" s="53">
        <v>0.625</v>
      </c>
      <c r="K38" s="53" t="s">
        <v>7</v>
      </c>
      <c r="L38" s="8"/>
      <c r="M38" s="53">
        <v>0.75</v>
      </c>
      <c r="N38" s="53" t="s">
        <v>7</v>
      </c>
      <c r="O38" s="8"/>
      <c r="P38" s="53">
        <v>1</v>
      </c>
      <c r="Q38" s="54" t="s">
        <v>7</v>
      </c>
    </row>
    <row r="39" spans="2:17">
      <c r="B39" s="55"/>
      <c r="C39" s="13" t="s">
        <v>40</v>
      </c>
      <c r="D39" s="26">
        <f>(8.01*Density2*SpecificHeat2)*D40*DeltaTemp2</f>
        <v>1056.6578115947593</v>
      </c>
      <c r="E39" s="15" t="s">
        <v>18</v>
      </c>
      <c r="F39" s="15"/>
      <c r="G39" s="56">
        <f>(0.408/(G38*G38))*D40</f>
        <v>0.69483247318059216</v>
      </c>
      <c r="H39" s="15" t="s">
        <v>9</v>
      </c>
      <c r="I39" s="15"/>
      <c r="J39" s="56">
        <f>(0.408/(J38*J38))*D40</f>
        <v>0.44469278283557895</v>
      </c>
      <c r="K39" s="15" t="s">
        <v>9</v>
      </c>
      <c r="L39" s="15"/>
      <c r="M39" s="56">
        <f>(0.408/(M38*M38))*D40</f>
        <v>0.30881443252470758</v>
      </c>
      <c r="N39" s="15" t="s">
        <v>9</v>
      </c>
      <c r="O39" s="15"/>
      <c r="P39" s="56">
        <f>(0.408/(P38*P38))*D40</f>
        <v>0.17370811829514804</v>
      </c>
      <c r="Q39" s="25" t="s">
        <v>9</v>
      </c>
    </row>
    <row r="40" spans="2:17">
      <c r="B40" s="55"/>
      <c r="C40" s="13" t="s">
        <v>41</v>
      </c>
      <c r="D40" s="31">
        <f>IF(J41,(ZoneHead2/D41)^0.57,0)</f>
        <v>0.42575519189987265</v>
      </c>
      <c r="E40" s="15" t="s">
        <v>16</v>
      </c>
      <c r="F40" s="15"/>
      <c r="G40" s="15"/>
      <c r="H40" s="15"/>
      <c r="I40" s="15"/>
      <c r="J40" s="15"/>
      <c r="K40" s="15"/>
      <c r="L40" s="15"/>
      <c r="M40" s="15"/>
      <c r="N40" s="15"/>
      <c r="O40" s="15"/>
      <c r="P40" s="15"/>
      <c r="Q40" s="25"/>
    </row>
    <row r="41" spans="2:17">
      <c r="B41" s="55"/>
      <c r="C41" s="13" t="s">
        <v>42</v>
      </c>
      <c r="D41" s="31">
        <f>IF(J41,(Alpha2*Halfc*D38)+D43,0)</f>
        <v>12.286617855639843</v>
      </c>
      <c r="E41" s="15"/>
      <c r="F41" s="15"/>
      <c r="G41" s="40"/>
      <c r="H41" s="40"/>
      <c r="I41" s="40"/>
      <c r="J41" s="57" t="b">
        <v>1</v>
      </c>
      <c r="K41" s="57"/>
      <c r="L41" s="15"/>
      <c r="M41" s="40"/>
      <c r="N41" s="40"/>
      <c r="O41" s="15"/>
      <c r="P41" s="15"/>
      <c r="Q41" s="59"/>
    </row>
    <row r="42" spans="2:17">
      <c r="B42" s="55"/>
      <c r="C42" s="13" t="s">
        <v>43</v>
      </c>
      <c r="D42" s="26">
        <f>D41*D40^1.75</f>
        <v>2.7571618970161462</v>
      </c>
      <c r="E42" s="24"/>
      <c r="F42" s="15"/>
      <c r="G42" s="15"/>
      <c r="H42" s="15"/>
      <c r="I42" s="15"/>
      <c r="J42" s="57"/>
      <c r="K42" s="57"/>
      <c r="L42" s="15"/>
      <c r="M42" s="15"/>
      <c r="N42" s="15"/>
      <c r="O42" s="15"/>
      <c r="P42" s="15"/>
      <c r="Q42" s="25"/>
    </row>
    <row r="43" spans="2:17" ht="15.75" thickBot="1">
      <c r="B43" s="45"/>
      <c r="C43" s="60" t="s">
        <v>44</v>
      </c>
      <c r="D43" s="61">
        <v>0</v>
      </c>
      <c r="E43" s="20"/>
      <c r="F43" s="20"/>
      <c r="G43" s="20"/>
      <c r="H43" s="20"/>
      <c r="I43" s="20"/>
      <c r="J43" s="20"/>
      <c r="K43" s="20"/>
      <c r="L43" s="20"/>
      <c r="M43" s="20"/>
      <c r="N43" s="20"/>
      <c r="O43" s="20"/>
      <c r="P43" s="20"/>
      <c r="Q43" s="22"/>
    </row>
    <row r="44" spans="2:17">
      <c r="B44" s="50" t="s">
        <v>48</v>
      </c>
      <c r="C44" s="51" t="s">
        <v>39</v>
      </c>
      <c r="D44" s="52">
        <v>300</v>
      </c>
      <c r="E44" s="24" t="s">
        <v>3</v>
      </c>
      <c r="F44" s="8"/>
      <c r="G44" s="53">
        <v>0.5</v>
      </c>
      <c r="H44" s="53" t="s">
        <v>7</v>
      </c>
      <c r="I44" s="8"/>
      <c r="J44" s="53">
        <v>0.625</v>
      </c>
      <c r="K44" s="53" t="s">
        <v>7</v>
      </c>
      <c r="L44" s="8"/>
      <c r="M44" s="53">
        <v>0.75</v>
      </c>
      <c r="N44" s="53" t="s">
        <v>7</v>
      </c>
      <c r="O44" s="8"/>
      <c r="P44" s="53">
        <v>1</v>
      </c>
      <c r="Q44" s="54" t="s">
        <v>7</v>
      </c>
    </row>
    <row r="45" spans="2:17">
      <c r="B45" s="55"/>
      <c r="C45" s="13" t="s">
        <v>40</v>
      </c>
      <c r="D45" s="26">
        <f>(8.01*Density2*SpecificHeat2)*D46*DeltaTemp2</f>
        <v>1056.6578115947593</v>
      </c>
      <c r="E45" s="15" t="s">
        <v>18</v>
      </c>
      <c r="F45" s="15"/>
      <c r="G45" s="56">
        <f>(0.408/(G44*G44))*D46</f>
        <v>0.69483247318059216</v>
      </c>
      <c r="H45" s="15" t="s">
        <v>9</v>
      </c>
      <c r="I45" s="15"/>
      <c r="J45" s="56">
        <f>(0.408/(J44*J44))*D46</f>
        <v>0.44469278283557895</v>
      </c>
      <c r="K45" s="15" t="s">
        <v>9</v>
      </c>
      <c r="L45" s="15"/>
      <c r="M45" s="56">
        <f>(0.408/(M44*M44))*D46</f>
        <v>0.30881443252470758</v>
      </c>
      <c r="N45" s="15" t="s">
        <v>9</v>
      </c>
      <c r="O45" s="15"/>
      <c r="P45" s="56">
        <f>(0.408/(P44*P44))*D46</f>
        <v>0.17370811829514804</v>
      </c>
      <c r="Q45" s="25" t="s">
        <v>9</v>
      </c>
    </row>
    <row r="46" spans="2:17">
      <c r="B46" s="55"/>
      <c r="C46" s="13" t="s">
        <v>41</v>
      </c>
      <c r="D46" s="31">
        <f>IF(J47,(ZoneHead2/D47)^0.57,0)</f>
        <v>0.42575519189987265</v>
      </c>
      <c r="E46" s="15" t="s">
        <v>16</v>
      </c>
      <c r="F46" s="15"/>
      <c r="G46" s="15"/>
      <c r="H46" s="15"/>
      <c r="I46" s="15"/>
      <c r="J46" s="15"/>
      <c r="K46" s="15"/>
      <c r="L46" s="15"/>
      <c r="M46" s="15"/>
      <c r="N46" s="15"/>
      <c r="O46" s="15"/>
      <c r="P46" s="15"/>
      <c r="Q46" s="25"/>
    </row>
    <row r="47" spans="2:17">
      <c r="B47" s="55"/>
      <c r="C47" s="13" t="s">
        <v>42</v>
      </c>
      <c r="D47" s="31">
        <f>IF(J47,(Alpha2*Halfc*D44)+D49,0)</f>
        <v>12.286617855639843</v>
      </c>
      <c r="E47" s="15"/>
      <c r="F47" s="15"/>
      <c r="G47" s="40"/>
      <c r="H47" s="40"/>
      <c r="I47" s="40"/>
      <c r="J47" s="57" t="b">
        <v>1</v>
      </c>
      <c r="K47" s="57"/>
      <c r="L47" s="15"/>
      <c r="M47" s="40"/>
      <c r="N47" s="40"/>
      <c r="O47" s="15"/>
      <c r="P47" s="15"/>
      <c r="Q47" s="59"/>
    </row>
    <row r="48" spans="2:17">
      <c r="B48" s="55"/>
      <c r="C48" s="13" t="s">
        <v>43</v>
      </c>
      <c r="D48" s="26">
        <f>D47*D46^1.75</f>
        <v>2.7571618970161462</v>
      </c>
      <c r="E48" s="24"/>
      <c r="F48" s="15"/>
      <c r="G48" s="15"/>
      <c r="H48" s="15"/>
      <c r="I48" s="15"/>
      <c r="J48" s="57"/>
      <c r="K48" s="57"/>
      <c r="L48" s="15"/>
      <c r="M48" s="15"/>
      <c r="N48" s="15"/>
      <c r="O48" s="15"/>
      <c r="P48" s="15"/>
      <c r="Q48" s="25"/>
    </row>
    <row r="49" spans="2:17" ht="15.75" thickBot="1">
      <c r="B49" s="45"/>
      <c r="C49" s="60" t="s">
        <v>44</v>
      </c>
      <c r="D49" s="61">
        <v>0</v>
      </c>
      <c r="E49" s="20"/>
      <c r="F49" s="20"/>
      <c r="G49" s="20"/>
      <c r="H49" s="20"/>
      <c r="I49" s="20"/>
      <c r="J49" s="20"/>
      <c r="K49" s="20"/>
      <c r="L49" s="20"/>
      <c r="M49" s="20"/>
      <c r="N49" s="20"/>
      <c r="O49" s="20"/>
      <c r="P49" s="20"/>
      <c r="Q49" s="22"/>
    </row>
    <row r="50" spans="2:17">
      <c r="B50" s="50" t="s">
        <v>49</v>
      </c>
      <c r="C50" s="51" t="s">
        <v>39</v>
      </c>
      <c r="D50" s="52">
        <v>300</v>
      </c>
      <c r="E50" s="24" t="s">
        <v>3</v>
      </c>
      <c r="F50" s="8"/>
      <c r="G50" s="53">
        <v>0.5</v>
      </c>
      <c r="H50" s="53" t="s">
        <v>7</v>
      </c>
      <c r="I50" s="8"/>
      <c r="J50" s="53">
        <v>0.625</v>
      </c>
      <c r="K50" s="53" t="s">
        <v>7</v>
      </c>
      <c r="L50" s="8"/>
      <c r="M50" s="53">
        <v>0.75</v>
      </c>
      <c r="N50" s="53" t="s">
        <v>7</v>
      </c>
      <c r="O50" s="8"/>
      <c r="P50" s="53">
        <v>1</v>
      </c>
      <c r="Q50" s="54" t="s">
        <v>7</v>
      </c>
    </row>
    <row r="51" spans="2:17">
      <c r="B51" s="55"/>
      <c r="C51" s="13" t="s">
        <v>40</v>
      </c>
      <c r="D51" s="26">
        <f>(8.01*Density2*SpecificHeat2)*D52*DeltaTemp2</f>
        <v>1056.6578115947593</v>
      </c>
      <c r="E51" s="15" t="s">
        <v>18</v>
      </c>
      <c r="F51" s="15"/>
      <c r="G51" s="56">
        <f>(0.408/(G50*G50))*D52</f>
        <v>0.69483247318059216</v>
      </c>
      <c r="H51" s="15" t="s">
        <v>9</v>
      </c>
      <c r="I51" s="15"/>
      <c r="J51" s="56">
        <f>(0.408/(J50*J50))*D52</f>
        <v>0.44469278283557895</v>
      </c>
      <c r="K51" s="15" t="s">
        <v>9</v>
      </c>
      <c r="L51" s="15"/>
      <c r="M51" s="56">
        <f>(0.408/(M50*M50))*D52</f>
        <v>0.30881443252470758</v>
      </c>
      <c r="N51" s="15" t="s">
        <v>9</v>
      </c>
      <c r="O51" s="15"/>
      <c r="P51" s="56">
        <f>(0.408/(P50*P50))*D52</f>
        <v>0.17370811829514804</v>
      </c>
      <c r="Q51" s="25" t="s">
        <v>9</v>
      </c>
    </row>
    <row r="52" spans="2:17">
      <c r="B52" s="55"/>
      <c r="C52" s="13" t="s">
        <v>41</v>
      </c>
      <c r="D52" s="31">
        <f>IF(J53,(ZoneHead2/D53)^0.57,0)</f>
        <v>0.42575519189987265</v>
      </c>
      <c r="E52" s="15" t="s">
        <v>16</v>
      </c>
      <c r="F52" s="15"/>
      <c r="G52" s="15"/>
      <c r="H52" s="15"/>
      <c r="I52" s="15"/>
      <c r="J52" s="15"/>
      <c r="K52" s="15"/>
      <c r="L52" s="15"/>
      <c r="M52" s="15"/>
      <c r="N52" s="15"/>
      <c r="O52" s="15"/>
      <c r="P52" s="15"/>
      <c r="Q52" s="25"/>
    </row>
    <row r="53" spans="2:17">
      <c r="B53" s="55"/>
      <c r="C53" s="13" t="s">
        <v>42</v>
      </c>
      <c r="D53" s="31">
        <f>IF(J53,(Alpha2*Halfc*D50)+D55,0)</f>
        <v>12.286617855639843</v>
      </c>
      <c r="E53" s="15"/>
      <c r="F53" s="15"/>
      <c r="G53" s="40"/>
      <c r="H53" s="40"/>
      <c r="I53" s="40"/>
      <c r="J53" s="57" t="b">
        <v>1</v>
      </c>
      <c r="K53" s="57"/>
      <c r="L53" s="15"/>
      <c r="M53" s="40"/>
      <c r="N53" s="40"/>
      <c r="O53" s="15"/>
      <c r="P53" s="15"/>
      <c r="Q53" s="59"/>
    </row>
    <row r="54" spans="2:17">
      <c r="B54" s="55"/>
      <c r="C54" s="13" t="s">
        <v>43</v>
      </c>
      <c r="D54" s="26">
        <f>D53*D52^1.75</f>
        <v>2.7571618970161462</v>
      </c>
      <c r="E54" s="24"/>
      <c r="F54" s="15"/>
      <c r="G54" s="15"/>
      <c r="H54" s="15"/>
      <c r="I54" s="15"/>
      <c r="J54" s="57"/>
      <c r="K54" s="57"/>
      <c r="L54" s="15"/>
      <c r="M54" s="15"/>
      <c r="N54" s="15"/>
      <c r="O54" s="15"/>
      <c r="P54" s="15"/>
      <c r="Q54" s="25"/>
    </row>
    <row r="55" spans="2:17" ht="15.75" thickBot="1">
      <c r="B55" s="45"/>
      <c r="C55" s="60" t="s">
        <v>44</v>
      </c>
      <c r="D55" s="61">
        <v>0</v>
      </c>
      <c r="E55" s="20"/>
      <c r="F55" s="20"/>
      <c r="G55" s="20"/>
      <c r="H55" s="20"/>
      <c r="I55" s="20"/>
      <c r="J55" s="20"/>
      <c r="K55" s="20"/>
      <c r="L55" s="20"/>
      <c r="M55" s="20"/>
      <c r="N55" s="20"/>
      <c r="O55" s="20"/>
      <c r="P55" s="20"/>
      <c r="Q55" s="22"/>
    </row>
    <row r="56" spans="2:17">
      <c r="B56" s="50" t="s">
        <v>50</v>
      </c>
      <c r="C56" s="51" t="s">
        <v>39</v>
      </c>
      <c r="D56" s="52">
        <v>300</v>
      </c>
      <c r="E56" s="24" t="s">
        <v>3</v>
      </c>
      <c r="F56" s="8"/>
      <c r="G56" s="53">
        <v>0.5</v>
      </c>
      <c r="H56" s="53" t="s">
        <v>7</v>
      </c>
      <c r="I56" s="8"/>
      <c r="J56" s="53">
        <v>0.625</v>
      </c>
      <c r="K56" s="53" t="s">
        <v>7</v>
      </c>
      <c r="L56" s="8"/>
      <c r="M56" s="53">
        <v>0.75</v>
      </c>
      <c r="N56" s="53" t="s">
        <v>7</v>
      </c>
      <c r="O56" s="8"/>
      <c r="P56" s="53">
        <v>1</v>
      </c>
      <c r="Q56" s="54" t="s">
        <v>7</v>
      </c>
    </row>
    <row r="57" spans="2:17">
      <c r="B57" s="55"/>
      <c r="C57" s="13" t="s">
        <v>40</v>
      </c>
      <c r="D57" s="26">
        <f>(8.01*Density2*SpecificHeat2)*D58*DeltaTemp2</f>
        <v>1056.6578115947593</v>
      </c>
      <c r="E57" s="15" t="s">
        <v>18</v>
      </c>
      <c r="F57" s="15"/>
      <c r="G57" s="56">
        <f>(0.408/(G56*G56))*D58</f>
        <v>0.69483247318059216</v>
      </c>
      <c r="H57" s="15" t="s">
        <v>9</v>
      </c>
      <c r="I57" s="15"/>
      <c r="J57" s="56">
        <f>(0.408/(J56*J56))*D58</f>
        <v>0.44469278283557895</v>
      </c>
      <c r="K57" s="15" t="s">
        <v>9</v>
      </c>
      <c r="L57" s="15"/>
      <c r="M57" s="56">
        <f>(0.408/(M56*M56))*D58</f>
        <v>0.30881443252470758</v>
      </c>
      <c r="N57" s="15" t="s">
        <v>9</v>
      </c>
      <c r="O57" s="15"/>
      <c r="P57" s="56">
        <f>(0.408/(P56*P56))*D58</f>
        <v>0.17370811829514804</v>
      </c>
      <c r="Q57" s="25" t="s">
        <v>9</v>
      </c>
    </row>
    <row r="58" spans="2:17">
      <c r="B58" s="55"/>
      <c r="C58" s="13" t="s">
        <v>41</v>
      </c>
      <c r="D58" s="31">
        <f>IF(J59,(ZoneHead2/D59)^0.57,0)</f>
        <v>0.42575519189987265</v>
      </c>
      <c r="E58" s="15" t="s">
        <v>16</v>
      </c>
      <c r="F58" s="15"/>
      <c r="G58" s="15"/>
      <c r="H58" s="15"/>
      <c r="I58" s="15"/>
      <c r="J58" s="15"/>
      <c r="K58" s="15"/>
      <c r="L58" s="15"/>
      <c r="M58" s="15"/>
      <c r="N58" s="15"/>
      <c r="O58" s="15"/>
      <c r="P58" s="15"/>
      <c r="Q58" s="25"/>
    </row>
    <row r="59" spans="2:17">
      <c r="B59" s="55"/>
      <c r="C59" s="13" t="s">
        <v>42</v>
      </c>
      <c r="D59" s="31">
        <f>IF(J59,(Alpha2*Halfc*D56)+D61,0)</f>
        <v>12.286617855639843</v>
      </c>
      <c r="E59" s="15"/>
      <c r="F59" s="15"/>
      <c r="G59" s="40"/>
      <c r="H59" s="40"/>
      <c r="I59" s="40"/>
      <c r="J59" s="57" t="b">
        <v>1</v>
      </c>
      <c r="K59" s="57"/>
      <c r="L59" s="15"/>
      <c r="M59" s="40"/>
      <c r="N59" s="40"/>
      <c r="O59" s="15"/>
      <c r="P59" s="15"/>
      <c r="Q59" s="59"/>
    </row>
    <row r="60" spans="2:17">
      <c r="B60" s="55"/>
      <c r="C60" s="13" t="s">
        <v>43</v>
      </c>
      <c r="D60" s="26">
        <f>D59*D58^1.75</f>
        <v>2.7571618970161462</v>
      </c>
      <c r="E60" s="24"/>
      <c r="F60" s="15"/>
      <c r="G60" s="15"/>
      <c r="H60" s="15"/>
      <c r="I60" s="15"/>
      <c r="J60" s="57"/>
      <c r="K60" s="57"/>
      <c r="L60" s="15"/>
      <c r="M60" s="15"/>
      <c r="N60" s="15"/>
      <c r="O60" s="15"/>
      <c r="P60" s="15"/>
      <c r="Q60" s="25"/>
    </row>
    <row r="61" spans="2:17" ht="15.75" thickBot="1">
      <c r="B61" s="45"/>
      <c r="C61" s="60" t="s">
        <v>44</v>
      </c>
      <c r="D61" s="61">
        <v>0</v>
      </c>
      <c r="E61" s="20"/>
      <c r="F61" s="20"/>
      <c r="G61" s="20"/>
      <c r="H61" s="20"/>
      <c r="I61" s="20"/>
      <c r="J61" s="20"/>
      <c r="K61" s="20"/>
      <c r="L61" s="20"/>
      <c r="M61" s="20"/>
      <c r="N61" s="20"/>
      <c r="O61" s="20"/>
      <c r="P61" s="20"/>
      <c r="Q61" s="22"/>
    </row>
    <row r="62" spans="2:17">
      <c r="B62" s="50" t="s">
        <v>51</v>
      </c>
      <c r="C62" s="51" t="s">
        <v>39</v>
      </c>
      <c r="D62" s="52">
        <v>300</v>
      </c>
      <c r="E62" s="24" t="s">
        <v>3</v>
      </c>
      <c r="F62" s="8"/>
      <c r="G62" s="53">
        <v>0.5</v>
      </c>
      <c r="H62" s="53" t="s">
        <v>7</v>
      </c>
      <c r="I62" s="8"/>
      <c r="J62" s="53">
        <v>0.625</v>
      </c>
      <c r="K62" s="53" t="s">
        <v>7</v>
      </c>
      <c r="L62" s="8"/>
      <c r="M62" s="53">
        <v>0.75</v>
      </c>
      <c r="N62" s="53" t="s">
        <v>7</v>
      </c>
      <c r="O62" s="8"/>
      <c r="P62" s="53">
        <v>1</v>
      </c>
      <c r="Q62" s="54" t="s">
        <v>7</v>
      </c>
    </row>
    <row r="63" spans="2:17">
      <c r="B63" s="55"/>
      <c r="C63" s="13" t="s">
        <v>40</v>
      </c>
      <c r="D63" s="26">
        <f>(8.01*Density2*SpecificHeat2)*D64*DeltaTemp2</f>
        <v>1056.6578115947593</v>
      </c>
      <c r="E63" s="15" t="s">
        <v>18</v>
      </c>
      <c r="F63" s="15"/>
      <c r="G63" s="56">
        <f>(0.408/(G62*G62))*D64</f>
        <v>0.69483247318059216</v>
      </c>
      <c r="H63" s="15" t="s">
        <v>9</v>
      </c>
      <c r="I63" s="15"/>
      <c r="J63" s="56">
        <f>(0.408/(J62*J62))*D64</f>
        <v>0.44469278283557895</v>
      </c>
      <c r="K63" s="15" t="s">
        <v>9</v>
      </c>
      <c r="L63" s="15"/>
      <c r="M63" s="56">
        <f>(0.408/(M62*M62))*D64</f>
        <v>0.30881443252470758</v>
      </c>
      <c r="N63" s="15" t="s">
        <v>9</v>
      </c>
      <c r="O63" s="15"/>
      <c r="P63" s="56">
        <f>(0.408/(P62*P62))*D64</f>
        <v>0.17370811829514804</v>
      </c>
      <c r="Q63" s="25" t="s">
        <v>9</v>
      </c>
    </row>
    <row r="64" spans="2:17">
      <c r="B64" s="55"/>
      <c r="C64" s="13" t="s">
        <v>41</v>
      </c>
      <c r="D64" s="31">
        <f>IF(J65,(ZoneHead2/D65)^0.57,0)</f>
        <v>0.42575519189987265</v>
      </c>
      <c r="E64" s="15" t="s">
        <v>16</v>
      </c>
      <c r="F64" s="15"/>
      <c r="G64" s="15"/>
      <c r="H64" s="15"/>
      <c r="I64" s="15"/>
      <c r="J64" s="15"/>
      <c r="K64" s="15"/>
      <c r="L64" s="15"/>
      <c r="M64" s="15"/>
      <c r="N64" s="15"/>
      <c r="O64" s="15"/>
      <c r="P64" s="15"/>
      <c r="Q64" s="25"/>
    </row>
    <row r="65" spans="2:17">
      <c r="B65" s="55"/>
      <c r="C65" s="13" t="s">
        <v>42</v>
      </c>
      <c r="D65" s="31">
        <f>IF(J65,(Alpha2*Halfc*D62)+D67,0)</f>
        <v>12.286617855639843</v>
      </c>
      <c r="E65" s="15"/>
      <c r="F65" s="15"/>
      <c r="G65" s="40"/>
      <c r="H65" s="40"/>
      <c r="I65" s="40"/>
      <c r="J65" s="57" t="b">
        <v>1</v>
      </c>
      <c r="K65" s="57"/>
      <c r="L65" s="15"/>
      <c r="M65" s="40"/>
      <c r="N65" s="40"/>
      <c r="O65" s="15"/>
      <c r="P65" s="15"/>
      <c r="Q65" s="59"/>
    </row>
    <row r="66" spans="2:17">
      <c r="B66" s="55"/>
      <c r="C66" s="13" t="s">
        <v>43</v>
      </c>
      <c r="D66" s="26">
        <f>D65*D64^1.75</f>
        <v>2.7571618970161462</v>
      </c>
      <c r="E66" s="24"/>
      <c r="F66" s="15"/>
      <c r="G66" s="15"/>
      <c r="H66" s="15"/>
      <c r="I66" s="15"/>
      <c r="J66" s="57"/>
      <c r="K66" s="57"/>
      <c r="L66" s="15"/>
      <c r="M66" s="15"/>
      <c r="N66" s="15"/>
      <c r="O66" s="15"/>
      <c r="P66" s="15"/>
      <c r="Q66" s="25"/>
    </row>
    <row r="67" spans="2:17" ht="15.75" thickBot="1">
      <c r="B67" s="45"/>
      <c r="C67" s="60" t="s">
        <v>44</v>
      </c>
      <c r="D67" s="61">
        <v>0</v>
      </c>
      <c r="E67" s="20"/>
      <c r="F67" s="20"/>
      <c r="G67" s="20"/>
      <c r="H67" s="20"/>
      <c r="I67" s="20"/>
      <c r="J67" s="20"/>
      <c r="K67" s="20"/>
      <c r="L67" s="20"/>
      <c r="M67" s="20"/>
      <c r="N67" s="20"/>
      <c r="O67" s="20"/>
      <c r="P67" s="20"/>
      <c r="Q67" s="22"/>
    </row>
    <row r="68" spans="2:17">
      <c r="B68" s="50" t="s">
        <v>52</v>
      </c>
      <c r="C68" s="51" t="s">
        <v>39</v>
      </c>
      <c r="D68" s="52">
        <v>300</v>
      </c>
      <c r="E68" s="24" t="s">
        <v>3</v>
      </c>
      <c r="F68" s="8"/>
      <c r="G68" s="53">
        <v>0.5</v>
      </c>
      <c r="H68" s="53" t="s">
        <v>7</v>
      </c>
      <c r="I68" s="8"/>
      <c r="J68" s="53">
        <v>0.625</v>
      </c>
      <c r="K68" s="53" t="s">
        <v>7</v>
      </c>
      <c r="L68" s="8"/>
      <c r="M68" s="53">
        <v>0.75</v>
      </c>
      <c r="N68" s="53" t="s">
        <v>7</v>
      </c>
      <c r="O68" s="8"/>
      <c r="P68" s="53">
        <v>1</v>
      </c>
      <c r="Q68" s="54" t="s">
        <v>7</v>
      </c>
    </row>
    <row r="69" spans="2:17">
      <c r="B69" s="55"/>
      <c r="C69" s="13" t="s">
        <v>40</v>
      </c>
      <c r="D69" s="26">
        <f>(8.01*Density2*SpecificHeat2)*D70*DeltaTemp2</f>
        <v>1056.6578115947593</v>
      </c>
      <c r="E69" s="15" t="s">
        <v>18</v>
      </c>
      <c r="F69" s="15"/>
      <c r="G69" s="56">
        <f>(0.408/(G68*G68))*D70</f>
        <v>0.69483247318059216</v>
      </c>
      <c r="H69" s="15" t="s">
        <v>9</v>
      </c>
      <c r="I69" s="15"/>
      <c r="J69" s="56">
        <f>(0.408/(J68*J68))*D70</f>
        <v>0.44469278283557895</v>
      </c>
      <c r="K69" s="15" t="s">
        <v>9</v>
      </c>
      <c r="L69" s="15"/>
      <c r="M69" s="56">
        <f>(0.408/(M68*M68))*D70</f>
        <v>0.30881443252470758</v>
      </c>
      <c r="N69" s="15" t="s">
        <v>9</v>
      </c>
      <c r="O69" s="15"/>
      <c r="P69" s="56">
        <f>(0.408/(P68*P68))*D70</f>
        <v>0.17370811829514804</v>
      </c>
      <c r="Q69" s="25" t="s">
        <v>9</v>
      </c>
    </row>
    <row r="70" spans="2:17">
      <c r="B70" s="55"/>
      <c r="C70" s="13" t="s">
        <v>41</v>
      </c>
      <c r="D70" s="31">
        <f>IF(J71,(ZoneHead2/D71)^0.57,0)</f>
        <v>0.42575519189987265</v>
      </c>
      <c r="E70" s="15" t="s">
        <v>16</v>
      </c>
      <c r="F70" s="15"/>
      <c r="G70" s="15"/>
      <c r="H70" s="15"/>
      <c r="I70" s="15"/>
      <c r="J70" s="15"/>
      <c r="K70" s="15"/>
      <c r="L70" s="15"/>
      <c r="M70" s="15"/>
      <c r="N70" s="15"/>
      <c r="O70" s="15"/>
      <c r="P70" s="15"/>
      <c r="Q70" s="25"/>
    </row>
    <row r="71" spans="2:17">
      <c r="B71" s="55"/>
      <c r="C71" s="13" t="s">
        <v>42</v>
      </c>
      <c r="D71" s="31">
        <f>IF(J71,(Alpha2*Halfc*D68)+D73,0)</f>
        <v>12.286617855639843</v>
      </c>
      <c r="E71" s="15"/>
      <c r="F71" s="15"/>
      <c r="G71" s="40"/>
      <c r="H71" s="40"/>
      <c r="I71" s="40"/>
      <c r="J71" s="57" t="b">
        <v>1</v>
      </c>
      <c r="K71" s="57"/>
      <c r="L71" s="15"/>
      <c r="M71" s="40"/>
      <c r="N71" s="40"/>
      <c r="O71" s="15"/>
      <c r="P71" s="15"/>
      <c r="Q71" s="59"/>
    </row>
    <row r="72" spans="2:17">
      <c r="B72" s="55"/>
      <c r="C72" s="13" t="s">
        <v>43</v>
      </c>
      <c r="D72" s="26">
        <f>D71*D70^1.75</f>
        <v>2.7571618970161462</v>
      </c>
      <c r="E72" s="24"/>
      <c r="F72" s="15"/>
      <c r="G72" s="15"/>
      <c r="H72" s="15"/>
      <c r="I72" s="15"/>
      <c r="J72" s="57"/>
      <c r="K72" s="57"/>
      <c r="L72" s="15"/>
      <c r="M72" s="15"/>
      <c r="N72" s="15"/>
      <c r="O72" s="15"/>
      <c r="P72" s="15"/>
      <c r="Q72" s="25"/>
    </row>
    <row r="73" spans="2:17" ht="15.75" thickBot="1">
      <c r="B73" s="45"/>
      <c r="C73" s="60" t="s">
        <v>44</v>
      </c>
      <c r="D73" s="61">
        <v>0</v>
      </c>
      <c r="E73" s="20"/>
      <c r="F73" s="20"/>
      <c r="G73" s="20"/>
      <c r="H73" s="20"/>
      <c r="I73" s="20"/>
      <c r="J73" s="20"/>
      <c r="K73" s="20"/>
      <c r="L73" s="20"/>
      <c r="M73" s="20"/>
      <c r="N73" s="20"/>
      <c r="O73" s="20"/>
      <c r="P73" s="20"/>
      <c r="Q73" s="22"/>
    </row>
    <row r="74" spans="2:17">
      <c r="B74" s="50" t="s">
        <v>53</v>
      </c>
      <c r="C74" s="51" t="s">
        <v>39</v>
      </c>
      <c r="D74" s="52">
        <v>300</v>
      </c>
      <c r="E74" s="24" t="s">
        <v>3</v>
      </c>
      <c r="F74" s="8"/>
      <c r="G74" s="53">
        <v>0.5</v>
      </c>
      <c r="H74" s="53" t="s">
        <v>7</v>
      </c>
      <c r="I74" s="8"/>
      <c r="J74" s="53">
        <v>0.625</v>
      </c>
      <c r="K74" s="53" t="s">
        <v>7</v>
      </c>
      <c r="L74" s="8"/>
      <c r="M74" s="53">
        <v>0.75</v>
      </c>
      <c r="N74" s="53" t="s">
        <v>7</v>
      </c>
      <c r="O74" s="8"/>
      <c r="P74" s="53">
        <v>1</v>
      </c>
      <c r="Q74" s="54" t="s">
        <v>7</v>
      </c>
    </row>
    <row r="75" spans="2:17">
      <c r="B75" s="55"/>
      <c r="C75" s="13" t="s">
        <v>40</v>
      </c>
      <c r="D75" s="26">
        <f>(8.01*Density2*SpecificHeat2)*D76*DeltaTemp2</f>
        <v>1056.6578115947593</v>
      </c>
      <c r="E75" s="15" t="s">
        <v>18</v>
      </c>
      <c r="F75" s="15"/>
      <c r="G75" s="56">
        <f>(0.408/(G74*G74))*D76</f>
        <v>0.69483247318059216</v>
      </c>
      <c r="H75" s="15" t="s">
        <v>9</v>
      </c>
      <c r="I75" s="15"/>
      <c r="J75" s="56">
        <f>(0.408/(J74*J74))*D76</f>
        <v>0.44469278283557895</v>
      </c>
      <c r="K75" s="15" t="s">
        <v>9</v>
      </c>
      <c r="L75" s="15"/>
      <c r="M75" s="56">
        <f>(0.408/(M74*M74))*D76</f>
        <v>0.30881443252470758</v>
      </c>
      <c r="N75" s="15" t="s">
        <v>9</v>
      </c>
      <c r="O75" s="15"/>
      <c r="P75" s="56">
        <f>(0.408/(P74*P74))*D76</f>
        <v>0.17370811829514804</v>
      </c>
      <c r="Q75" s="25" t="s">
        <v>9</v>
      </c>
    </row>
    <row r="76" spans="2:17">
      <c r="B76" s="55"/>
      <c r="C76" s="13" t="s">
        <v>41</v>
      </c>
      <c r="D76" s="31">
        <f>IF(J77,(ZoneHead2/D77)^0.57,0)</f>
        <v>0.42575519189987265</v>
      </c>
      <c r="E76" s="15" t="s">
        <v>16</v>
      </c>
      <c r="F76" s="15"/>
      <c r="G76" s="15"/>
      <c r="H76" s="15"/>
      <c r="I76" s="15"/>
      <c r="J76" s="15"/>
      <c r="K76" s="15"/>
      <c r="L76" s="15"/>
      <c r="M76" s="15"/>
      <c r="N76" s="15"/>
      <c r="O76" s="15"/>
      <c r="P76" s="15"/>
      <c r="Q76" s="25"/>
    </row>
    <row r="77" spans="2:17">
      <c r="B77" s="55"/>
      <c r="C77" s="13" t="s">
        <v>42</v>
      </c>
      <c r="D77" s="31">
        <f>IF(J77,(Alpha2*Halfc*D74)+D79,0)</f>
        <v>12.286617855639843</v>
      </c>
      <c r="E77" s="15"/>
      <c r="F77" s="15"/>
      <c r="G77" s="40"/>
      <c r="H77" s="40"/>
      <c r="I77" s="40"/>
      <c r="J77" s="57" t="b">
        <v>1</v>
      </c>
      <c r="K77" s="57"/>
      <c r="L77" s="15"/>
      <c r="M77" s="40"/>
      <c r="N77" s="40"/>
      <c r="O77" s="15"/>
      <c r="P77" s="15"/>
      <c r="Q77" s="59"/>
    </row>
    <row r="78" spans="2:17">
      <c r="B78" s="55"/>
      <c r="C78" s="13" t="s">
        <v>43</v>
      </c>
      <c r="D78" s="26">
        <f>D77*D76^1.75</f>
        <v>2.7571618970161462</v>
      </c>
      <c r="E78" s="24"/>
      <c r="F78" s="15"/>
      <c r="G78" s="15"/>
      <c r="H78" s="15"/>
      <c r="I78" s="15"/>
      <c r="J78" s="57"/>
      <c r="K78" s="57"/>
      <c r="L78" s="15"/>
      <c r="M78" s="15"/>
      <c r="N78" s="15"/>
      <c r="O78" s="15"/>
      <c r="P78" s="15"/>
      <c r="Q78" s="25"/>
    </row>
    <row r="79" spans="2:17" ht="15.75" thickBot="1">
      <c r="B79" s="45"/>
      <c r="C79" s="60" t="s">
        <v>44</v>
      </c>
      <c r="D79" s="61">
        <v>0</v>
      </c>
      <c r="E79" s="20"/>
      <c r="F79" s="20"/>
      <c r="G79" s="20"/>
      <c r="H79" s="20"/>
      <c r="I79" s="20"/>
      <c r="J79" s="20"/>
      <c r="K79" s="20"/>
      <c r="L79" s="20"/>
      <c r="M79" s="20"/>
      <c r="N79" s="20"/>
      <c r="O79" s="20"/>
      <c r="P79" s="20"/>
      <c r="Q79" s="22"/>
    </row>
    <row r="80" spans="2:17">
      <c r="B80" s="50" t="s">
        <v>54</v>
      </c>
      <c r="C80" s="51" t="s">
        <v>39</v>
      </c>
      <c r="D80" s="52">
        <v>300</v>
      </c>
      <c r="E80" s="24" t="s">
        <v>3</v>
      </c>
      <c r="F80" s="8"/>
      <c r="G80" s="53">
        <v>0.5</v>
      </c>
      <c r="H80" s="53" t="s">
        <v>7</v>
      </c>
      <c r="I80" s="8"/>
      <c r="J80" s="53">
        <v>0.625</v>
      </c>
      <c r="K80" s="53" t="s">
        <v>7</v>
      </c>
      <c r="L80" s="8"/>
      <c r="M80" s="53">
        <v>0.75</v>
      </c>
      <c r="N80" s="53" t="s">
        <v>7</v>
      </c>
      <c r="O80" s="8"/>
      <c r="P80" s="53">
        <v>1</v>
      </c>
      <c r="Q80" s="54" t="s">
        <v>7</v>
      </c>
    </row>
    <row r="81" spans="2:17">
      <c r="B81" s="55"/>
      <c r="C81" s="13" t="s">
        <v>40</v>
      </c>
      <c r="D81" s="26">
        <f>(8.01*Density2*SpecificHeat2)*D82*DeltaTemp2</f>
        <v>1056.6578115947593</v>
      </c>
      <c r="E81" s="15" t="s">
        <v>18</v>
      </c>
      <c r="F81" s="15"/>
      <c r="G81" s="56">
        <f>(0.408/(G80*G80))*D82</f>
        <v>0.69483247318059216</v>
      </c>
      <c r="H81" s="15" t="s">
        <v>9</v>
      </c>
      <c r="I81" s="15"/>
      <c r="J81" s="56">
        <f>(0.408/(J80*J80))*D82</f>
        <v>0.44469278283557895</v>
      </c>
      <c r="K81" s="15" t="s">
        <v>9</v>
      </c>
      <c r="L81" s="15"/>
      <c r="M81" s="56">
        <f>(0.408/(M80*M80))*D82</f>
        <v>0.30881443252470758</v>
      </c>
      <c r="N81" s="15" t="s">
        <v>9</v>
      </c>
      <c r="O81" s="15"/>
      <c r="P81" s="56">
        <f>(0.408/(P80*P80))*D82</f>
        <v>0.17370811829514804</v>
      </c>
      <c r="Q81" s="25" t="s">
        <v>9</v>
      </c>
    </row>
    <row r="82" spans="2:17">
      <c r="B82" s="55"/>
      <c r="C82" s="13" t="s">
        <v>41</v>
      </c>
      <c r="D82" s="31">
        <f>IF(J83,(ZoneHead2/D83)^0.57,0)</f>
        <v>0.42575519189987265</v>
      </c>
      <c r="E82" s="15" t="s">
        <v>16</v>
      </c>
      <c r="F82" s="15"/>
      <c r="G82" s="15"/>
      <c r="H82" s="15"/>
      <c r="I82" s="15"/>
      <c r="J82" s="15"/>
      <c r="K82" s="15"/>
      <c r="L82" s="15"/>
      <c r="M82" s="15"/>
      <c r="N82" s="15"/>
      <c r="O82" s="15"/>
      <c r="P82" s="15"/>
      <c r="Q82" s="25"/>
    </row>
    <row r="83" spans="2:17">
      <c r="B83" s="55"/>
      <c r="C83" s="13" t="s">
        <v>42</v>
      </c>
      <c r="D83" s="31">
        <f>IF(J83,(Alpha2*Halfc*D80)+D85,0)</f>
        <v>12.286617855639843</v>
      </c>
      <c r="E83" s="15"/>
      <c r="F83" s="15"/>
      <c r="G83" s="40"/>
      <c r="H83" s="40"/>
      <c r="I83" s="40"/>
      <c r="J83" s="57" t="b">
        <v>1</v>
      </c>
      <c r="K83" s="57"/>
      <c r="L83" s="15"/>
      <c r="M83" s="40"/>
      <c r="N83" s="40"/>
      <c r="O83" s="15"/>
      <c r="P83" s="15"/>
      <c r="Q83" s="59"/>
    </row>
    <row r="84" spans="2:17">
      <c r="B84" s="55"/>
      <c r="C84" s="13" t="s">
        <v>43</v>
      </c>
      <c r="D84" s="26">
        <f>D83*D82^1.75</f>
        <v>2.7571618970161462</v>
      </c>
      <c r="E84" s="24"/>
      <c r="F84" s="15"/>
      <c r="G84" s="15"/>
      <c r="H84" s="15"/>
      <c r="I84" s="15"/>
      <c r="J84" s="57"/>
      <c r="K84" s="57"/>
      <c r="L84" s="15"/>
      <c r="M84" s="15"/>
      <c r="N84" s="15"/>
      <c r="O84" s="15"/>
      <c r="P84" s="15"/>
      <c r="Q84" s="25"/>
    </row>
    <row r="85" spans="2:17" ht="15.75" thickBot="1">
      <c r="B85" s="45"/>
      <c r="C85" s="60" t="s">
        <v>44</v>
      </c>
      <c r="D85" s="61">
        <v>0</v>
      </c>
      <c r="E85" s="20"/>
      <c r="F85" s="20"/>
      <c r="G85" s="20"/>
      <c r="H85" s="20"/>
      <c r="I85" s="20"/>
      <c r="J85" s="20"/>
      <c r="K85" s="20"/>
      <c r="L85" s="20"/>
      <c r="M85" s="20"/>
      <c r="N85" s="20"/>
      <c r="O85" s="20"/>
      <c r="P85" s="20"/>
      <c r="Q85" s="22"/>
    </row>
    <row r="86" spans="2:17">
      <c r="B86" s="50" t="s">
        <v>55</v>
      </c>
      <c r="C86" s="51" t="s">
        <v>39</v>
      </c>
      <c r="D86" s="52">
        <v>300</v>
      </c>
      <c r="E86" s="24" t="s">
        <v>3</v>
      </c>
      <c r="F86" s="8"/>
      <c r="G86" s="53">
        <v>0.5</v>
      </c>
      <c r="H86" s="53" t="s">
        <v>7</v>
      </c>
      <c r="I86" s="8"/>
      <c r="J86" s="53">
        <v>0.625</v>
      </c>
      <c r="K86" s="53" t="s">
        <v>7</v>
      </c>
      <c r="L86" s="8"/>
      <c r="M86" s="53">
        <v>0.75</v>
      </c>
      <c r="N86" s="53" t="s">
        <v>7</v>
      </c>
      <c r="O86" s="8"/>
      <c r="P86" s="53">
        <v>1</v>
      </c>
      <c r="Q86" s="54" t="s">
        <v>7</v>
      </c>
    </row>
    <row r="87" spans="2:17">
      <c r="B87" s="55"/>
      <c r="C87" s="13" t="s">
        <v>40</v>
      </c>
      <c r="D87" s="26">
        <f>(8.01*Density2*SpecificHeat2)*D88*DeltaTemp2</f>
        <v>1056.6578115947593</v>
      </c>
      <c r="E87" s="15" t="s">
        <v>18</v>
      </c>
      <c r="F87" s="15"/>
      <c r="G87" s="56">
        <f>(0.408/(G86*G86))*D88</f>
        <v>0.69483247318059216</v>
      </c>
      <c r="H87" s="15" t="s">
        <v>9</v>
      </c>
      <c r="I87" s="15"/>
      <c r="J87" s="56">
        <f>(0.408/(J86*J86))*D88</f>
        <v>0.44469278283557895</v>
      </c>
      <c r="K87" s="15" t="s">
        <v>9</v>
      </c>
      <c r="L87" s="15"/>
      <c r="M87" s="56">
        <f>(0.408/(M86*M86))*D88</f>
        <v>0.30881443252470758</v>
      </c>
      <c r="N87" s="15" t="s">
        <v>9</v>
      </c>
      <c r="O87" s="15"/>
      <c r="P87" s="56">
        <f>(0.408/(P86*P86))*D88</f>
        <v>0.17370811829514804</v>
      </c>
      <c r="Q87" s="25" t="s">
        <v>9</v>
      </c>
    </row>
    <row r="88" spans="2:17">
      <c r="B88" s="55"/>
      <c r="C88" s="13" t="s">
        <v>41</v>
      </c>
      <c r="D88" s="31">
        <f>IF(J89,(ZoneHead2/D89)^0.57,0)</f>
        <v>0.42575519189987265</v>
      </c>
      <c r="E88" s="15" t="s">
        <v>16</v>
      </c>
      <c r="F88" s="15"/>
      <c r="G88" s="15"/>
      <c r="H88" s="15"/>
      <c r="I88" s="15"/>
      <c r="J88" s="15"/>
      <c r="K88" s="15"/>
      <c r="L88" s="15"/>
      <c r="M88" s="15"/>
      <c r="N88" s="15"/>
      <c r="O88" s="15"/>
      <c r="P88" s="15"/>
      <c r="Q88" s="25"/>
    </row>
    <row r="89" spans="2:17">
      <c r="B89" s="55"/>
      <c r="C89" s="13" t="s">
        <v>42</v>
      </c>
      <c r="D89" s="31">
        <f>IF(J89,(Alpha2*Halfc*D86)+D91,0)</f>
        <v>12.286617855639843</v>
      </c>
      <c r="E89" s="15"/>
      <c r="F89" s="15"/>
      <c r="G89" s="40"/>
      <c r="H89" s="40"/>
      <c r="I89" s="40"/>
      <c r="J89" s="57" t="b">
        <v>1</v>
      </c>
      <c r="K89" s="57"/>
      <c r="L89" s="15"/>
      <c r="M89" s="40"/>
      <c r="N89" s="40"/>
      <c r="O89" s="15"/>
      <c r="P89" s="15"/>
      <c r="Q89" s="59"/>
    </row>
    <row r="90" spans="2:17">
      <c r="B90" s="55"/>
      <c r="C90" s="13" t="s">
        <v>43</v>
      </c>
      <c r="D90" s="26">
        <f>D89*D88^1.75</f>
        <v>2.7571618970161462</v>
      </c>
      <c r="E90" s="24"/>
      <c r="F90" s="15"/>
      <c r="G90" s="15"/>
      <c r="H90" s="15"/>
      <c r="I90" s="15"/>
      <c r="J90" s="57"/>
      <c r="K90" s="57"/>
      <c r="L90" s="15"/>
      <c r="M90" s="15"/>
      <c r="N90" s="15"/>
      <c r="O90" s="15"/>
      <c r="P90" s="15"/>
      <c r="Q90" s="25"/>
    </row>
    <row r="91" spans="2:17" ht="15.75" thickBot="1">
      <c r="B91" s="45"/>
      <c r="C91" s="60" t="s">
        <v>44</v>
      </c>
      <c r="D91" s="61">
        <v>0</v>
      </c>
      <c r="E91" s="20"/>
      <c r="F91" s="20"/>
      <c r="G91" s="20"/>
      <c r="H91" s="20"/>
      <c r="I91" s="20"/>
      <c r="J91" s="20"/>
      <c r="K91" s="20"/>
      <c r="L91" s="20"/>
      <c r="M91" s="20"/>
      <c r="N91" s="20"/>
      <c r="O91" s="20"/>
      <c r="P91" s="20"/>
      <c r="Q91" s="22"/>
    </row>
  </sheetData>
  <mergeCells count="37">
    <mergeCell ref="B86:B91"/>
    <mergeCell ref="J89:K90"/>
    <mergeCell ref="B68:B73"/>
    <mergeCell ref="J71:K72"/>
    <mergeCell ref="B74:B79"/>
    <mergeCell ref="J77:K78"/>
    <mergeCell ref="B80:B85"/>
    <mergeCell ref="J83:K84"/>
    <mergeCell ref="B50:B55"/>
    <mergeCell ref="J53:K54"/>
    <mergeCell ref="B56:B61"/>
    <mergeCell ref="J59:K60"/>
    <mergeCell ref="B62:B67"/>
    <mergeCell ref="J65:K66"/>
    <mergeCell ref="B32:B37"/>
    <mergeCell ref="J35:K36"/>
    <mergeCell ref="B38:B43"/>
    <mergeCell ref="J41:K42"/>
    <mergeCell ref="B44:B49"/>
    <mergeCell ref="J47:K48"/>
    <mergeCell ref="G17:J17"/>
    <mergeCell ref="K17:M17"/>
    <mergeCell ref="B19:Q19"/>
    <mergeCell ref="B20:B25"/>
    <mergeCell ref="J23:K24"/>
    <mergeCell ref="B26:B31"/>
    <mergeCell ref="J29:K30"/>
    <mergeCell ref="B2:Q2"/>
    <mergeCell ref="B3:B18"/>
    <mergeCell ref="G3:Q3"/>
    <mergeCell ref="G7:Q7"/>
    <mergeCell ref="G10:Q10"/>
    <mergeCell ref="G14:Q14"/>
    <mergeCell ref="G15:J15"/>
    <mergeCell ref="K15:M15"/>
    <mergeCell ref="G16:J16"/>
    <mergeCell ref="K16:M16"/>
  </mergeCells>
  <conditionalFormatting sqref="G21 J21 M21 P21 G27 J27 M27 P27 G33 J33 M33 P33 G39 J39 M39 P39 G45 J45 M45 P45 G51 J51 M51 P51 G57 J57 M57 P57 G63 J63 M63 P63 G69 J69 M69 P69 G75 J75 M75 P75 G81 J81 M81 P81 G87 J87 M87 P87 G5 J5 M5 P5">
    <cfRule type="cellIs" dxfId="11" priority="5" operator="lessThan">
      <formula>4</formula>
    </cfRule>
    <cfRule type="cellIs" dxfId="10" priority="6" operator="greaterThan">
      <formula>4</formula>
    </cfRule>
  </conditionalFormatting>
  <conditionalFormatting sqref="M23">
    <cfRule type="containsText" dxfId="7" priority="3" operator="containsText" text="N">
      <formula>NOT(ISERROR(SEARCH("N",M23)))</formula>
    </cfRule>
    <cfRule type="containsText" dxfId="6" priority="4" operator="containsText" text="Y">
      <formula>NOT(ISERROR(SEARCH("Y",M23)))</formula>
    </cfRule>
  </conditionalFormatting>
  <conditionalFormatting sqref="J23:K24 J29:K30 J35:K36 J41:K42 J47:K48 J53:K54 J59:K60 J71:K72 J77:K78 J83:K84 J89:K90 J65:K66">
    <cfRule type="containsText" dxfId="3" priority="1" operator="containsText" text="true">
      <formula>NOT(ISERROR(SEARCH("true",J23)))</formula>
    </cfRule>
    <cfRule type="containsText" dxfId="2" priority="2" operator="containsText" text="false">
      <formula>NOT(ISERROR(SEARCH("false",J23)))</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vt:i4>
      </vt:variant>
    </vt:vector>
  </HeadingPairs>
  <TitlesOfParts>
    <vt:vector size="30" baseType="lpstr">
      <vt:lpstr>1" x 5|8" Manifold Calculator</vt:lpstr>
      <vt:lpstr>3|4" x 1|2" Manifold Calculator</vt:lpstr>
      <vt:lpstr>Alpha</vt:lpstr>
      <vt:lpstr>Alpha2</vt:lpstr>
      <vt:lpstr>CirculatorHead</vt:lpstr>
      <vt:lpstr>CirculatorHead2</vt:lpstr>
      <vt:lpstr>DeltaTemp</vt:lpstr>
      <vt:lpstr>DeltaTemp2</vt:lpstr>
      <vt:lpstr>Density</vt:lpstr>
      <vt:lpstr>Density2</vt:lpstr>
      <vt:lpstr>DynamicViscosity</vt:lpstr>
      <vt:lpstr>DynamicViscosity2</vt:lpstr>
      <vt:lpstr>FiveEightsc</vt:lpstr>
      <vt:lpstr>'3|4" x 1|2" Manifold Calculator'!Halfc</vt:lpstr>
      <vt:lpstr>HeaderResistance</vt:lpstr>
      <vt:lpstr>HeaderResistance2</vt:lpstr>
      <vt:lpstr>ManifoldDistance</vt:lpstr>
      <vt:lpstr>ManifoldDistance2</vt:lpstr>
      <vt:lpstr>OneInchc</vt:lpstr>
      <vt:lpstr>SpecificHeat</vt:lpstr>
      <vt:lpstr>SpecificHeat2</vt:lpstr>
      <vt:lpstr>SystemFlow</vt:lpstr>
      <vt:lpstr>SystemFlow2</vt:lpstr>
      <vt:lpstr>TempIn</vt:lpstr>
      <vt:lpstr>TempIn2</vt:lpstr>
      <vt:lpstr>'3|4" x 1|2" Manifold Calculator'!ThreeQuartersc</vt:lpstr>
      <vt:lpstr>ZoneHead</vt:lpstr>
      <vt:lpstr>ZoneHead2</vt:lpstr>
      <vt:lpstr>ZoneResistance</vt:lpstr>
      <vt:lpstr>ZoneResistance2</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dc:creator>
  <cp:lastModifiedBy>Neal</cp:lastModifiedBy>
  <dcterms:created xsi:type="dcterms:W3CDTF">2015-09-27T11:27:37Z</dcterms:created>
  <dcterms:modified xsi:type="dcterms:W3CDTF">2015-09-27T11:36:49Z</dcterms:modified>
</cp:coreProperties>
</file>